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3년\02 생활문화센터 조성\05 관급자재\04 통신\03 내역서\"/>
    </mc:Choice>
  </mc:AlternateContent>
  <bookViews>
    <workbookView xWindow="-120" yWindow="-120" windowWidth="29040" windowHeight="15840"/>
  </bookViews>
  <sheets>
    <sheet name="원가계산서" sheetId="8" r:id="rId1"/>
    <sheet name="공종별집계표" sheetId="7" r:id="rId2"/>
    <sheet name="공종별내역서" sheetId="6" r:id="rId3"/>
    <sheet name="단가대비표" sheetId="3" r:id="rId4"/>
    <sheet name=" 공사설정 " sheetId="2" r:id="rId5"/>
    <sheet name="Sheet1" sheetId="1" r:id="rId6"/>
  </sheets>
  <definedNames>
    <definedName name="_xlnm.Print_Area" localSheetId="2">공종별내역서!$A$1:$M$26</definedName>
    <definedName name="_xlnm.Print_Area" localSheetId="1">공종별집계표!$A$1:$M$11</definedName>
    <definedName name="_xlnm.Print_Area" localSheetId="3">단가대비표!$A$1:$X$5</definedName>
    <definedName name="_xlnm.Print_Area" localSheetId="0">원가계산서!$C$3:$R$38</definedName>
    <definedName name="_xlnm.Print_Titles" localSheetId="2">공종별내역서!$1:$4</definedName>
    <definedName name="_xlnm.Print_Titles" localSheetId="1">공종별집계표!$1:$4</definedName>
    <definedName name="_xlnm.Print_Titles" localSheetId="3">단가대비표!$1:$4</definedName>
    <definedName name="_xlnm.Print_Titles" localSheetId="0">원가계산서!$3:$5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8" l="1"/>
  <c r="F37" i="8"/>
  <c r="K37" i="8" s="1"/>
  <c r="G36" i="8"/>
  <c r="G35" i="8"/>
  <c r="F35" i="8"/>
  <c r="K35" i="8" s="1"/>
  <c r="G34" i="8"/>
  <c r="F34" i="8"/>
  <c r="K34" i="8" s="1"/>
  <c r="K30" i="8"/>
  <c r="K29" i="8"/>
  <c r="K13" i="8"/>
  <c r="U8" i="8"/>
  <c r="U7" i="8"/>
  <c r="T7" i="8"/>
  <c r="I6" i="6"/>
  <c r="J6" i="6" s="1"/>
  <c r="G6" i="6"/>
  <c r="O5" i="3"/>
  <c r="E6" i="6" s="1"/>
  <c r="F6" i="6" s="1"/>
  <c r="H6" i="6"/>
  <c r="H26" i="6" s="1"/>
  <c r="G8" i="7" s="1"/>
  <c r="H8" i="7" s="1"/>
  <c r="G7" i="7" s="1"/>
  <c r="H7" i="7" s="1"/>
  <c r="G6" i="7" s="1"/>
  <c r="H6" i="7" s="1"/>
  <c r="K6" i="6" l="1"/>
  <c r="J26" i="6"/>
  <c r="I8" i="7" s="1"/>
  <c r="J8" i="7" s="1"/>
  <c r="I7" i="7" s="1"/>
  <c r="J7" i="7" s="1"/>
  <c r="I6" i="7" s="1"/>
  <c r="J6" i="7" s="1"/>
  <c r="L6" i="6"/>
  <c r="J9" i="8"/>
  <c r="J12" i="8"/>
  <c r="I12" i="8"/>
  <c r="I9" i="8"/>
  <c r="H12" i="8"/>
  <c r="F9" i="8"/>
  <c r="H9" i="8"/>
  <c r="G9" i="8"/>
  <c r="G12" i="8"/>
  <c r="F12" i="8"/>
  <c r="H17" i="8" l="1"/>
  <c r="H10" i="8"/>
  <c r="H11" i="8" s="1"/>
  <c r="H16" i="8"/>
  <c r="H18" i="8" s="1"/>
  <c r="H19" i="8"/>
  <c r="G17" i="8"/>
  <c r="G10" i="8"/>
  <c r="G11" i="8" s="1"/>
  <c r="G16" i="8"/>
  <c r="G18" i="8" s="1"/>
  <c r="G19" i="8"/>
  <c r="F19" i="8"/>
  <c r="F16" i="8"/>
  <c r="F17" i="8"/>
  <c r="F10" i="8"/>
  <c r="K9" i="8"/>
  <c r="I17" i="8"/>
  <c r="I10" i="8"/>
  <c r="I11" i="8" s="1"/>
  <c r="I16" i="8"/>
  <c r="I18" i="8" s="1"/>
  <c r="I19" i="8"/>
  <c r="K12" i="8"/>
  <c r="J16" i="8"/>
  <c r="J18" i="8" s="1"/>
  <c r="J19" i="8"/>
  <c r="J10" i="8"/>
  <c r="J11" i="8" s="1"/>
  <c r="J17" i="8"/>
  <c r="H11" i="7"/>
  <c r="J11" i="7"/>
  <c r="L26" i="6"/>
  <c r="F26" i="6"/>
  <c r="E8" i="7" s="1"/>
  <c r="K17" i="8" l="1"/>
  <c r="K19" i="8"/>
  <c r="J15" i="8"/>
  <c r="J14" i="8"/>
  <c r="G15" i="8"/>
  <c r="G14" i="8"/>
  <c r="K16" i="8"/>
  <c r="F18" i="8"/>
  <c r="K18" i="8" s="1"/>
  <c r="I15" i="8"/>
  <c r="I14" i="8"/>
  <c r="H15" i="8"/>
  <c r="H14" i="8"/>
  <c r="F11" i="8"/>
  <c r="K10" i="8"/>
  <c r="F8" i="7"/>
  <c r="K8" i="7"/>
  <c r="F15" i="8" l="1"/>
  <c r="K15" i="8" s="1"/>
  <c r="F14" i="8"/>
  <c r="K11" i="8"/>
  <c r="E7" i="7"/>
  <c r="L8" i="7"/>
  <c r="K14" i="8" l="1"/>
  <c r="F7" i="7"/>
  <c r="K7" i="7"/>
  <c r="T36" i="8" s="1"/>
  <c r="U9" i="8" l="1"/>
  <c r="F36" i="8"/>
  <c r="K36" i="8" s="1"/>
  <c r="E6" i="7"/>
  <c r="L7" i="7"/>
  <c r="F6" i="7" l="1"/>
  <c r="L6" i="7" s="1"/>
  <c r="T6" i="7" s="1"/>
  <c r="K6" i="7"/>
  <c r="F20" i="8" l="1"/>
  <c r="F8" i="8"/>
  <c r="I6" i="8"/>
  <c r="H6" i="8"/>
  <c r="I20" i="8" l="1"/>
  <c r="I8" i="8"/>
  <c r="H20" i="8"/>
  <c r="H8" i="8"/>
  <c r="H21" i="8" s="1"/>
  <c r="F21" i="8"/>
  <c r="J6" i="8"/>
  <c r="G6" i="8"/>
  <c r="J8" i="8" l="1"/>
  <c r="J20" i="8"/>
  <c r="G20" i="8"/>
  <c r="G8" i="8"/>
  <c r="K6" i="8"/>
  <c r="F25" i="8"/>
  <c r="H25" i="8"/>
  <c r="H26" i="8" s="1"/>
  <c r="I21" i="8"/>
  <c r="I25" i="8" s="1"/>
  <c r="I26" i="8" s="1"/>
  <c r="I27" i="8" l="1"/>
  <c r="I28" i="8" s="1"/>
  <c r="H27" i="8"/>
  <c r="H28" i="8" s="1"/>
  <c r="F26" i="8"/>
  <c r="U17" i="8"/>
  <c r="W14" i="8"/>
  <c r="U20" i="8"/>
  <c r="U18" i="8"/>
  <c r="U6" i="8"/>
  <c r="U21" i="8"/>
  <c r="G21" i="8"/>
  <c r="G25" i="8" s="1"/>
  <c r="G26" i="8" s="1"/>
  <c r="K8" i="8"/>
  <c r="K20" i="8"/>
  <c r="J21" i="8"/>
  <c r="J25" i="8" s="1"/>
  <c r="J26" i="8" s="1"/>
  <c r="J27" i="8" l="1"/>
  <c r="J28" i="8" s="1"/>
  <c r="Y18" i="8"/>
  <c r="Y17" i="8"/>
  <c r="G27" i="8"/>
  <c r="G28" i="8" s="1"/>
  <c r="G31" i="8" s="1"/>
  <c r="G32" i="8" s="1"/>
  <c r="G33" i="8" s="1"/>
  <c r="G38" i="8" s="1"/>
  <c r="K25" i="8"/>
  <c r="K21" i="8"/>
  <c r="H31" i="8"/>
  <c r="H32" i="8" s="1"/>
  <c r="H33" i="8" s="1"/>
  <c r="H38" i="8" s="1"/>
  <c r="I31" i="8"/>
  <c r="I32" i="8" s="1"/>
  <c r="I33" i="8" s="1"/>
  <c r="I38" i="8" s="1"/>
  <c r="F27" i="8"/>
  <c r="K26" i="8"/>
  <c r="J31" i="8" l="1"/>
  <c r="J32" i="8" s="1"/>
  <c r="J33" i="8" s="1"/>
  <c r="J38" i="8" s="1"/>
  <c r="K27" i="8"/>
  <c r="F28" i="8"/>
  <c r="K28" i="8" l="1"/>
  <c r="U24" i="8" s="1"/>
  <c r="F31" i="8"/>
  <c r="L11" i="7"/>
  <c r="F11" i="7"/>
  <c r="X30" i="8" l="1"/>
  <c r="X27" i="8"/>
  <c r="X26" i="8"/>
  <c r="P29" i="8"/>
  <c r="X28" i="8"/>
  <c r="X29" i="8"/>
  <c r="X31" i="8"/>
  <c r="K31" i="8"/>
  <c r="S27" i="8" s="1"/>
  <c r="F32" i="8"/>
  <c r="K32" i="8" s="1"/>
  <c r="F33" i="8" l="1"/>
  <c r="F38" i="8" l="1"/>
  <c r="K33" i="8"/>
  <c r="P19" i="8" l="1"/>
  <c r="S20" i="8"/>
  <c r="L20" i="8"/>
  <c r="S19" i="8"/>
  <c r="L19" i="8"/>
  <c r="K38" i="8"/>
  <c r="M4" i="8" s="1"/>
  <c r="Q4" i="8" s="1"/>
</calcChain>
</file>

<file path=xl/sharedStrings.xml><?xml version="1.0" encoding="utf-8"?>
<sst xmlns="http://schemas.openxmlformats.org/spreadsheetml/2006/main" count="436" uniqueCount="268">
  <si>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</si>
  <si>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</si>
  <si>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</si>
  <si>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</si>
  <si>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</si>
  <si>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</si>
  <si>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</si>
  <si>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</si>
  <si>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</si>
  <si>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</si>
  <si>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</si>
  <si>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</si>
  <si>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</si>
  <si>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</si>
  <si>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</si>
  <si>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</si>
  <si>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</si>
  <si>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</si>
  <si>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</si>
  <si>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공 종 별 내 역 서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</si>
  <si>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</si>
  <si>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</si>
  <si>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</si>
  <si>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</si>
  <si>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</si>
  <si>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</si>
  <si>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</si>
  <si>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</si>
  <si>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</si>
  <si>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</si>
  <si>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</si>
  <si>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</si>
  <si>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</si>
  <si>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</si>
  <si>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</si>
  <si>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</si>
  <si>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</si>
  <si>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</si>
  <si>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</si>
  <si>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</si>
  <si>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</si>
  <si>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</si>
  <si>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</si>
  <si>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</si>
  <si>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</si>
  <si>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</si>
  <si>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</si>
  <si>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</si>
  <si>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</si>
  <si>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</si>
  <si>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</si>
  <si>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경기창작센터 생활문화센터-통신</t>
  </si>
  <si>
    <t/>
  </si>
  <si>
    <t>01</t>
  </si>
  <si>
    <t>T</t>
  </si>
  <si>
    <t>F</t>
  </si>
  <si>
    <t>[ 합           계 ]</t>
  </si>
  <si>
    <t>TOTAL</t>
  </si>
  <si>
    <t>통합배선 설비공사</t>
  </si>
  <si>
    <t>SET</t>
  </si>
  <si>
    <t>5BEC86C146906519194E3A17C36130EB85831E</t>
  </si>
  <si>
    <t>0102  관급자재비</t>
  </si>
  <si>
    <t>0102</t>
  </si>
  <si>
    <t>3</t>
  </si>
  <si>
    <t>010201  관급자설치</t>
  </si>
  <si>
    <t>010201</t>
  </si>
  <si>
    <t>01020101  통합배선 (부가세포함)</t>
  </si>
  <si>
    <t>01020101</t>
  </si>
  <si>
    <t>총액</t>
  </si>
  <si>
    <t>관급자재비 관급자설치</t>
    <phoneticPr fontId="1" type="noConversion"/>
  </si>
  <si>
    <t>010201015BEC86C146906519194E3A17C36130EB85831E</t>
  </si>
  <si>
    <t>코  드</t>
  </si>
  <si>
    <t>노 무 비</t>
  </si>
  <si>
    <t>경    비</t>
  </si>
  <si>
    <t>번  호</t>
  </si>
  <si>
    <t>비      고</t>
  </si>
  <si>
    <t>단 가 대 비 표</t>
  </si>
  <si>
    <t>규격</t>
  </si>
  <si>
    <t>조달청가격</t>
  </si>
  <si>
    <t>PAGE</t>
  </si>
  <si>
    <t>거래가격</t>
  </si>
  <si>
    <t>유통물가</t>
  </si>
  <si>
    <t>물가자료</t>
  </si>
  <si>
    <t>조사가격</t>
  </si>
  <si>
    <t>적용단가</t>
  </si>
  <si>
    <t>품목구분</t>
  </si>
  <si>
    <t>노임구분</t>
  </si>
  <si>
    <t>소수점처리</t>
  </si>
  <si>
    <t>자재 61</t>
  </si>
  <si>
    <t>이 Sheet는 수정하지 마십시요</t>
  </si>
  <si>
    <t>공사구분</t>
  </si>
  <si>
    <t>D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</si>
  <si>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</si>
  <si>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</si>
  <si>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</si>
  <si>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</si>
  <si>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</si>
  <si>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</si>
  <si>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</si>
  <si>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</si>
  <si>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C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</si>
  <si>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</si>
  <si>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</si>
  <si>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</si>
  <si>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</si>
  <si>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</si>
  <si>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</si>
  <si>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</si>
  <si>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</si>
  <si>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</si>
  <si>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</si>
  <si>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</si>
  <si>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</si>
  <si>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</si>
  <si>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</si>
  <si>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</si>
  <si>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</si>
  <si>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</si>
  <si>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코드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</si>
  <si>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</si>
  <si>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</si>
  <si>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</si>
  <si>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</si>
  <si>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</si>
  <si>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</si>
  <si>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</si>
  <si>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</si>
  <si>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</si>
  <si>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</si>
  <si>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가 설 비</t>
  </si>
  <si>
    <t>한 전 인 입 비</t>
  </si>
  <si>
    <t>사용 전 검사비</t>
  </si>
  <si>
    <t>폐기물 처리비</t>
  </si>
  <si>
    <t>폐기물 상차비</t>
  </si>
  <si>
    <t>시트명</t>
    <phoneticPr fontId="1" type="noConversion"/>
  </si>
  <si>
    <t>공종별집계표</t>
    <phoneticPr fontId="1" type="noConversion"/>
  </si>
  <si>
    <t>행</t>
    <phoneticPr fontId="1" type="noConversion"/>
  </si>
  <si>
    <t>열</t>
    <phoneticPr fontId="1" type="noConversion"/>
  </si>
  <si>
    <t>공 사 원 가 계 산 서</t>
    <phoneticPr fontId="1" type="noConversion"/>
  </si>
  <si>
    <t>라온적산 : 010-8665-0998</t>
    <phoneticPr fontId="1" type="noConversion"/>
  </si>
  <si>
    <t>A</t>
    <phoneticPr fontId="1" type="noConversion"/>
  </si>
  <si>
    <t xml:space="preserve">공사명: </t>
    <phoneticPr fontId="1" type="noConversion"/>
  </si>
  <si>
    <t>금액</t>
    <phoneticPr fontId="1" type="noConversion"/>
  </si>
  <si>
    <t>원정</t>
    <phoneticPr fontId="1" type="noConversion"/>
  </si>
  <si>
    <t>비        목</t>
  </si>
  <si>
    <t>1.옥외</t>
    <phoneticPr fontId="1" type="noConversion"/>
  </si>
  <si>
    <t>2.공방동</t>
    <phoneticPr fontId="1" type="noConversion"/>
  </si>
  <si>
    <t>3.섬마루강당</t>
    <phoneticPr fontId="1" type="noConversion"/>
  </si>
  <si>
    <t>4.교육동</t>
    <phoneticPr fontId="1" type="noConversion"/>
  </si>
  <si>
    <t>5.전시사무동</t>
    <phoneticPr fontId="1" type="noConversion"/>
  </si>
  <si>
    <t>합 계</t>
    <phoneticPr fontId="1" type="noConversion"/>
  </si>
  <si>
    <t>구        성        비</t>
  </si>
  <si>
    <t>원가확인용</t>
    <phoneticPr fontId="1" type="noConversion"/>
  </si>
  <si>
    <t>A1</t>
  </si>
  <si>
    <t>순   공   사   원   가</t>
  </si>
  <si>
    <t>재   료   비</t>
  </si>
  <si>
    <t>직  접  재  료  비</t>
  </si>
  <si>
    <t>순공사비</t>
    <phoneticPr fontId="1" type="noConversion"/>
  </si>
  <si>
    <t>A2</t>
  </si>
  <si>
    <t>간  접  재  료  비</t>
  </si>
  <si>
    <t>AS</t>
  </si>
  <si>
    <t>[ 소          계 ]</t>
  </si>
  <si>
    <t>한전인입비</t>
    <phoneticPr fontId="1" type="noConversion"/>
  </si>
  <si>
    <t>B1</t>
  </si>
  <si>
    <t>H</t>
  </si>
  <si>
    <t>노   무   비</t>
  </si>
  <si>
    <t>직  접  노  무  비</t>
  </si>
  <si>
    <t>관급자재비</t>
    <phoneticPr fontId="1" type="noConversion"/>
  </si>
  <si>
    <t>B2</t>
  </si>
  <si>
    <t>간  접  노  무  비</t>
  </si>
  <si>
    <t>직접노무비의</t>
    <phoneticPr fontId="1" type="noConversion"/>
  </si>
  <si>
    <t>BS</t>
  </si>
  <si>
    <t>추정금액 : 추정가격+부가가치세+관급금액</t>
    <phoneticPr fontId="1" type="noConversion"/>
  </si>
  <si>
    <t>C2</t>
  </si>
  <si>
    <t>J</t>
  </si>
  <si>
    <t>경        비</t>
  </si>
  <si>
    <t>기   계    경   비</t>
  </si>
  <si>
    <t>C4</t>
  </si>
  <si>
    <t>운반비</t>
    <phoneticPr fontId="1" type="noConversion"/>
  </si>
  <si>
    <t xml:space="preserve">산업안전보건관리비 </t>
    <phoneticPr fontId="1" type="noConversion"/>
  </si>
  <si>
    <t>노임조정</t>
    <phoneticPr fontId="1" type="noConversion"/>
  </si>
  <si>
    <t>L</t>
    <phoneticPr fontId="1" type="noConversion"/>
  </si>
  <si>
    <t>산  재  보  험  료</t>
  </si>
  <si>
    <t>노무비의</t>
    <phoneticPr fontId="1" type="noConversion"/>
  </si>
  <si>
    <t>모든 건설공사에 적용</t>
    <phoneticPr fontId="1" type="noConversion"/>
  </si>
  <si>
    <t>대상액1: 재료비(도급자관급포함)+직노</t>
    <phoneticPr fontId="1" type="noConversion"/>
  </si>
  <si>
    <t>%</t>
    <phoneticPr fontId="1" type="noConversion"/>
  </si>
  <si>
    <t>C5</t>
  </si>
  <si>
    <t>고  용  보  험  료</t>
  </si>
  <si>
    <t>총공사비(도급액+도급자관급) 2천만원 미만의 건설공사를 건설업자가 아닌자가 시공시 제외</t>
    <phoneticPr fontId="1" type="noConversion"/>
  </si>
  <si>
    <t>C6</t>
  </si>
  <si>
    <t>국민  건강  보험료</t>
  </si>
  <si>
    <t>공사기간 1개월(30일)이상 모든 공사에 적용</t>
    <phoneticPr fontId="1" type="noConversion"/>
  </si>
  <si>
    <t>대상액1기준 5억 미만(총액2천만 이상)</t>
    <phoneticPr fontId="1" type="noConversion"/>
  </si>
  <si>
    <t>C7</t>
  </si>
  <si>
    <t>국민  연금  보험료</t>
  </si>
  <si>
    <t>(재+직노+도급자관급(부가세제외))의2.93%</t>
    <phoneticPr fontId="1" type="noConversion"/>
  </si>
  <si>
    <t>노인장기요양 보험료</t>
    <phoneticPr fontId="1" type="noConversion"/>
  </si>
  <si>
    <t>건강보혐료의</t>
    <phoneticPr fontId="1" type="noConversion"/>
  </si>
  <si>
    <t>B</t>
    <phoneticPr fontId="1" type="noConversion"/>
  </si>
  <si>
    <t>(재+직노)의 2.93% *1.2</t>
    <phoneticPr fontId="1" type="noConversion"/>
  </si>
  <si>
    <t>C8</t>
  </si>
  <si>
    <t>퇴직  공제  부금비</t>
  </si>
  <si>
    <t>총공사비(도급액+도급자관급) 1억원 이상 적용</t>
    <phoneticPr fontId="1" type="noConversion"/>
  </si>
  <si>
    <t>대상액1기준 5억 이상~50억미만</t>
    <phoneticPr fontId="1" type="noConversion"/>
  </si>
  <si>
    <t>CA</t>
  </si>
  <si>
    <t>산업안전보건관리비</t>
  </si>
  <si>
    <t>총공사비(도급액+도급자관급) 2천만원 이상 적용</t>
    <phoneticPr fontId="1" type="noConversion"/>
  </si>
  <si>
    <t>(재+직노+도급자관급(부가세제외))의1.86%+5,349천원</t>
    <phoneticPr fontId="1" type="noConversion"/>
  </si>
  <si>
    <t>CG</t>
  </si>
  <si>
    <t>기   타    경   비</t>
  </si>
  <si>
    <t>(재료비+노무비)의</t>
    <phoneticPr fontId="1" type="noConversion"/>
  </si>
  <si>
    <t>((재+직노)의 1.86%+5,349천원)*1.2</t>
    <phoneticPr fontId="1" type="noConversion"/>
  </si>
  <si>
    <t>CH</t>
  </si>
  <si>
    <t>공사이행보증수수료</t>
    <phoneticPr fontId="1" type="noConversion"/>
  </si>
  <si>
    <t>CK</t>
  </si>
  <si>
    <t>하도급지급보증수수료</t>
  </si>
  <si>
    <t>순계약금액 = 공급가액+((관급자관급+도급자관급)-부가가치세)-배상책임공제료</t>
    <phoneticPr fontId="1" type="noConversion"/>
  </si>
  <si>
    <t>CL</t>
  </si>
  <si>
    <t>환경보전비</t>
    <phoneticPr fontId="1" type="noConversion"/>
  </si>
  <si>
    <t>순계약금액 :</t>
    <phoneticPr fontId="1" type="noConversion"/>
  </si>
  <si>
    <t>CS</t>
  </si>
  <si>
    <t>순계약금액 적용구간</t>
    <phoneticPr fontId="1" type="noConversion"/>
  </si>
  <si>
    <t>기본요율</t>
    <phoneticPr fontId="1" type="noConversion"/>
  </si>
  <si>
    <t>초과일수(3년기본)</t>
    <phoneticPr fontId="1" type="noConversion"/>
  </si>
  <si>
    <t>배상책임공제료</t>
    <phoneticPr fontId="1" type="noConversion"/>
  </si>
  <si>
    <t>S1</t>
  </si>
  <si>
    <t xml:space="preserve">        계</t>
  </si>
  <si>
    <t>5억이하</t>
    <phoneticPr fontId="1" type="noConversion"/>
  </si>
  <si>
    <t>D1</t>
  </si>
  <si>
    <t>일  반  관  리  비</t>
  </si>
  <si>
    <t>계 의</t>
    <phoneticPr fontId="1" type="noConversion"/>
  </si>
  <si>
    <t>5억미만 6%, 5~30억 5.5%, 30~100억 5% (공급가액 기준)</t>
    <phoneticPr fontId="1" type="noConversion"/>
  </si>
  <si>
    <t>5억초과~10억이하</t>
    <phoneticPr fontId="1" type="noConversion"/>
  </si>
  <si>
    <t>D2</t>
  </si>
  <si>
    <t>이              윤</t>
  </si>
  <si>
    <t>(노무비+경비+일반관리비)의</t>
    <phoneticPr fontId="1" type="noConversion"/>
  </si>
  <si>
    <t>50억미만 15%, 50~300억 12% (공급가액 기준)</t>
    <phoneticPr fontId="1" type="noConversion"/>
  </si>
  <si>
    <t>10억초과~20억이하</t>
    <phoneticPr fontId="1" type="noConversion"/>
  </si>
  <si>
    <t>소방시설 배상책임공제비</t>
    <phoneticPr fontId="1" type="noConversion"/>
  </si>
  <si>
    <t>순계약금액*(기본요율*(1+(초과일수/1095)))</t>
    <phoneticPr fontId="1" type="noConversion"/>
  </si>
  <si>
    <t>5억이하 0.364%, 5억초과~10억이하 0.351%</t>
    <phoneticPr fontId="1" type="noConversion"/>
  </si>
  <si>
    <t>20억초과~30억이하</t>
    <phoneticPr fontId="1" type="noConversion"/>
  </si>
  <si>
    <t>사  급  자  재  비</t>
    <phoneticPr fontId="1" type="noConversion"/>
  </si>
  <si>
    <t>30억초과~40억이하</t>
    <phoneticPr fontId="1" type="noConversion"/>
  </si>
  <si>
    <t>D9</t>
  </si>
  <si>
    <t>공   급    가   액</t>
  </si>
  <si>
    <t>40억초과~50억이하</t>
    <phoneticPr fontId="1" type="noConversion"/>
  </si>
  <si>
    <t>DB</t>
  </si>
  <si>
    <t>부  가  가  치  세</t>
  </si>
  <si>
    <t>공급가액의</t>
    <phoneticPr fontId="1" type="noConversion"/>
  </si>
  <si>
    <t>DH</t>
  </si>
  <si>
    <t>도      급      액</t>
  </si>
  <si>
    <t>천단위 미만 절사</t>
    <phoneticPr fontId="1" type="noConversion"/>
  </si>
  <si>
    <t>집계표금액 절상</t>
    <phoneticPr fontId="1" type="noConversion"/>
  </si>
  <si>
    <t>재해예방기술지도</t>
    <phoneticPr fontId="1" type="noConversion"/>
  </si>
  <si>
    <t>천단위 미만 절상</t>
    <phoneticPr fontId="1" type="noConversion"/>
  </si>
  <si>
    <t>재해예방</t>
    <phoneticPr fontId="1" type="noConversion"/>
  </si>
  <si>
    <t>한전신청비/사용전검사비</t>
    <phoneticPr fontId="1" type="noConversion"/>
  </si>
  <si>
    <t>한전인입비/검사비</t>
    <phoneticPr fontId="1" type="noConversion"/>
  </si>
  <si>
    <t>관급자재(관급자설치)</t>
    <phoneticPr fontId="1" type="noConversion"/>
  </si>
  <si>
    <t>관급자설치</t>
    <phoneticPr fontId="1" type="noConversion"/>
  </si>
  <si>
    <t>관급자재(도급자설치)</t>
    <phoneticPr fontId="1" type="noConversion"/>
  </si>
  <si>
    <t>도급자설치</t>
    <phoneticPr fontId="1" type="noConversion"/>
  </si>
  <si>
    <t>S2</t>
  </si>
  <si>
    <t>총   공   사    비</t>
  </si>
  <si>
    <t>순공사비 50억미만 기준(공사기간 6개월이하)</t>
    <phoneticPr fontId="1" type="noConversion"/>
  </si>
  <si>
    <t>[ 경기창작센터 생활문화센터-통신 관급자재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</si>
</sst>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#"/>
    <numFmt numFmtId="177" formatCode="#,###;\-#,###;#;"/>
    <numFmt numFmtId="178" formatCode="#,##0.00#;\-#,##0.00#;#"/>
    <numFmt numFmtId="179" formatCode="0.0%"/>
    <numFmt numFmtId="180" formatCode="0.000%"/>
    <numFmt numFmtId="181" formatCode="#,##0_ "/>
  </numFmts>
  <fonts count="2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27"/>
      <color theme="1"/>
      <name val="돋움체"/>
      <family val="3"/>
      <charset val="129"/>
    </font>
    <font>
      <b/>
      <u/>
      <sz val="20"/>
      <color theme="1"/>
      <name val="돋움체"/>
      <family val="3"/>
      <charset val="129"/>
    </font>
    <font>
      <sz val="16"/>
      <color theme="1"/>
      <name val="맑은 고딕"/>
      <family val="2"/>
      <charset val="129"/>
      <scheme val="minor"/>
    </font>
    <font>
      <b/>
      <sz val="14"/>
      <color theme="1"/>
      <name val="돋움체"/>
      <family val="3"/>
      <charset val="129"/>
    </font>
    <font>
      <sz val="11"/>
      <name val="돋움"/>
      <family val="3"/>
      <charset val="129"/>
    </font>
    <font>
      <sz val="12"/>
      <color theme="1"/>
      <name val="돋움체"/>
      <family val="3"/>
      <charset val="129"/>
    </font>
    <font>
      <b/>
      <sz val="11"/>
      <color rgb="FFFF0000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FFCC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FFFFCC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4"/>
      <color rgb="FFFFFFCC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0" borderId="0"/>
  </cellStyleXfs>
  <cellXfs count="275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78" fontId="5" fillId="0" borderId="1" xfId="0" quotePrefix="1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8" fontId="0" fillId="0" borderId="0" xfId="0" applyNumberFormat="1">
      <alignment vertical="center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176" fontId="12" fillId="0" borderId="0" xfId="0" applyNumberFormat="1" applyFont="1" applyAlignment="1">
      <alignment horizontal="center" vertical="center"/>
    </xf>
    <xf numFmtId="41" fontId="0" fillId="0" borderId="0" xfId="1" applyFont="1">
      <alignment vertical="center"/>
    </xf>
    <xf numFmtId="0" fontId="13" fillId="0" borderId="0" xfId="2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5" fillId="0" borderId="0" xfId="2" applyFont="1" applyAlignment="1">
      <alignment horizontal="center"/>
    </xf>
    <xf numFmtId="0" fontId="16" fillId="0" borderId="2" xfId="0" quotePrefix="1" applyFont="1" applyBorder="1" applyAlignment="1">
      <alignment horizontal="distributed" vertical="distributed" wrapText="1" indent="2"/>
    </xf>
    <xf numFmtId="176" fontId="16" fillId="4" borderId="2" xfId="0" applyNumberFormat="1" applyFont="1" applyFill="1" applyBorder="1" applyAlignment="1">
      <alignment vertical="center" wrapText="1"/>
    </xf>
    <xf numFmtId="176" fontId="16" fillId="4" borderId="3" xfId="0" applyNumberFormat="1" applyFont="1" applyFill="1" applyBorder="1" applyAlignment="1">
      <alignment vertical="center" wrapText="1"/>
    </xf>
    <xf numFmtId="176" fontId="17" fillId="0" borderId="3" xfId="0" applyNumberFormat="1" applyFont="1" applyBorder="1" applyAlignment="1">
      <alignment vertical="center" wrapText="1"/>
    </xf>
    <xf numFmtId="0" fontId="16" fillId="0" borderId="7" xfId="0" quotePrefix="1" applyFont="1" applyBorder="1" applyAlignment="1">
      <alignment horizontal="center" vertical="center" wrapText="1"/>
    </xf>
    <xf numFmtId="41" fontId="0" fillId="0" borderId="0" xfId="1" applyFont="1" applyAlignment="1">
      <alignment horizontal="right" vertical="center"/>
    </xf>
    <xf numFmtId="0" fontId="16" fillId="0" borderId="9" xfId="0" quotePrefix="1" applyFont="1" applyBorder="1" applyAlignment="1">
      <alignment horizontal="distributed" vertical="distributed" wrapText="1" indent="2"/>
    </xf>
    <xf numFmtId="176" fontId="16" fillId="0" borderId="9" xfId="0" applyNumberFormat="1" applyFont="1" applyBorder="1" applyAlignment="1">
      <alignment vertical="center" wrapText="1"/>
    </xf>
    <xf numFmtId="176" fontId="16" fillId="0" borderId="10" xfId="0" applyNumberFormat="1" applyFont="1" applyBorder="1" applyAlignment="1">
      <alignment vertical="center" wrapText="1"/>
    </xf>
    <xf numFmtId="176" fontId="17" fillId="0" borderId="10" xfId="0" applyNumberFormat="1" applyFont="1" applyBorder="1" applyAlignment="1">
      <alignment vertical="center" wrapText="1"/>
    </xf>
    <xf numFmtId="0" fontId="16" fillId="0" borderId="14" xfId="0" quotePrefix="1" applyFont="1" applyBorder="1" applyAlignment="1">
      <alignment horizontal="center" vertical="center" shrinkToFit="1"/>
    </xf>
    <xf numFmtId="0" fontId="13" fillId="0" borderId="0" xfId="2"/>
    <xf numFmtId="0" fontId="16" fillId="0" borderId="0" xfId="0" quotePrefix="1" applyFont="1" applyAlignment="1">
      <alignment horizontal="distributed" vertical="distributed" wrapText="1" indent="2"/>
    </xf>
    <xf numFmtId="176" fontId="16" fillId="0" borderId="16" xfId="0" applyNumberFormat="1" applyFont="1" applyBorder="1" applyAlignment="1">
      <alignment vertical="center" wrapText="1"/>
    </xf>
    <xf numFmtId="176" fontId="16" fillId="0" borderId="17" xfId="0" applyNumberFormat="1" applyFont="1" applyBorder="1" applyAlignment="1">
      <alignment vertical="center" wrapText="1"/>
    </xf>
    <xf numFmtId="176" fontId="17" fillId="0" borderId="17" xfId="0" applyNumberFormat="1" applyFont="1" applyBorder="1" applyAlignment="1">
      <alignment vertical="center" wrapText="1"/>
    </xf>
    <xf numFmtId="0" fontId="16" fillId="0" borderId="0" xfId="0" quotePrefix="1" applyFont="1" applyAlignment="1">
      <alignment horizontal="center" vertical="center" shrinkToFit="1"/>
    </xf>
    <xf numFmtId="0" fontId="16" fillId="0" borderId="7" xfId="0" quotePrefix="1" applyFont="1" applyBorder="1" applyAlignment="1">
      <alignment horizontal="left" vertical="center" shrinkToFit="1"/>
    </xf>
    <xf numFmtId="179" fontId="16" fillId="0" borderId="14" xfId="0" quotePrefix="1" applyNumberFormat="1" applyFont="1" applyBorder="1" applyAlignment="1">
      <alignment horizontal="left" vertical="center" shrinkToFit="1"/>
    </xf>
    <xf numFmtId="0" fontId="16" fillId="0" borderId="22" xfId="0" quotePrefix="1" applyFont="1" applyBorder="1" applyAlignment="1">
      <alignment horizontal="distributed" vertical="distributed" wrapText="1" indent="2"/>
    </xf>
    <xf numFmtId="176" fontId="16" fillId="0" borderId="22" xfId="0" applyNumberFormat="1" applyFont="1" applyBorder="1" applyAlignment="1">
      <alignment vertical="center" wrapText="1"/>
    </xf>
    <xf numFmtId="176" fontId="16" fillId="0" borderId="1" xfId="0" applyNumberFormat="1" applyFont="1" applyBorder="1" applyAlignment="1">
      <alignment vertical="center" wrapText="1"/>
    </xf>
    <xf numFmtId="176" fontId="17" fillId="0" borderId="1" xfId="0" applyNumberFormat="1" applyFont="1" applyBorder="1" applyAlignment="1">
      <alignment vertical="center" wrapText="1"/>
    </xf>
    <xf numFmtId="0" fontId="16" fillId="0" borderId="23" xfId="0" quotePrefix="1" applyFont="1" applyBorder="1" applyAlignment="1">
      <alignment horizontal="left" vertical="center" shrinkToFit="1"/>
    </xf>
    <xf numFmtId="0" fontId="0" fillId="0" borderId="25" xfId="0" applyBorder="1">
      <alignment vertical="center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9" fillId="0" borderId="0" xfId="0" applyFont="1">
      <alignment vertical="center"/>
    </xf>
    <xf numFmtId="0" fontId="16" fillId="0" borderId="28" xfId="0" quotePrefix="1" applyFont="1" applyBorder="1" applyAlignment="1">
      <alignment horizontal="distributed" vertical="distributed" wrapText="1" indent="2"/>
    </xf>
    <xf numFmtId="176" fontId="16" fillId="4" borderId="29" xfId="0" applyNumberFormat="1" applyFont="1" applyFill="1" applyBorder="1" applyAlignment="1">
      <alignment vertical="center" wrapText="1"/>
    </xf>
    <xf numFmtId="176" fontId="16" fillId="4" borderId="30" xfId="0" applyNumberFormat="1" applyFont="1" applyFill="1" applyBorder="1" applyAlignment="1">
      <alignment vertical="center" wrapText="1"/>
    </xf>
    <xf numFmtId="176" fontId="17" fillId="0" borderId="30" xfId="0" applyNumberFormat="1" applyFont="1" applyBorder="1" applyAlignment="1">
      <alignment vertical="center" wrapText="1"/>
    </xf>
    <xf numFmtId="0" fontId="16" fillId="0" borderId="28" xfId="0" quotePrefix="1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distributed" vertical="distributed" wrapText="1" indent="2"/>
    </xf>
    <xf numFmtId="176" fontId="16" fillId="4" borderId="33" xfId="0" applyNumberFormat="1" applyFont="1" applyFill="1" applyBorder="1" applyAlignment="1">
      <alignment vertical="center" wrapText="1"/>
    </xf>
    <xf numFmtId="176" fontId="16" fillId="4" borderId="34" xfId="0" applyNumberFormat="1" applyFont="1" applyFill="1" applyBorder="1" applyAlignment="1">
      <alignment vertical="center" wrapText="1"/>
    </xf>
    <xf numFmtId="176" fontId="17" fillId="0" borderId="34" xfId="0" applyNumberFormat="1" applyFont="1" applyBorder="1" applyAlignment="1">
      <alignment vertical="center" wrapText="1"/>
    </xf>
    <xf numFmtId="10" fontId="16" fillId="0" borderId="32" xfId="0" quotePrefix="1" applyNumberFormat="1" applyFont="1" applyBorder="1" applyAlignment="1">
      <alignment horizontal="left" vertical="center" shrinkToFit="1"/>
    </xf>
    <xf numFmtId="0" fontId="16" fillId="0" borderId="32" xfId="0" quotePrefix="1" applyFont="1" applyBorder="1" applyAlignment="1">
      <alignment horizontal="distributed" vertical="distributed" wrapText="1" indent="2"/>
    </xf>
    <xf numFmtId="176" fontId="16" fillId="0" borderId="33" xfId="0" applyNumberFormat="1" applyFont="1" applyBorder="1" applyAlignment="1">
      <alignment vertical="center" wrapText="1"/>
    </xf>
    <xf numFmtId="176" fontId="16" fillId="0" borderId="34" xfId="0" applyNumberFormat="1" applyFont="1" applyBorder="1" applyAlignment="1">
      <alignment vertical="center" wrapText="1"/>
    </xf>
    <xf numFmtId="179" fontId="16" fillId="0" borderId="32" xfId="0" quotePrefix="1" applyNumberFormat="1" applyFont="1" applyBorder="1" applyAlignment="1">
      <alignment horizontal="left" vertical="center" shrinkToFit="1"/>
    </xf>
    <xf numFmtId="0" fontId="19" fillId="0" borderId="42" xfId="0" applyFont="1" applyBorder="1">
      <alignment vertical="center"/>
    </xf>
    <xf numFmtId="0" fontId="19" fillId="0" borderId="43" xfId="0" applyFont="1" applyBorder="1">
      <alignment vertical="center"/>
    </xf>
    <xf numFmtId="180" fontId="16" fillId="3" borderId="32" xfId="0" quotePrefix="1" applyNumberFormat="1" applyFont="1" applyFill="1" applyBorder="1" applyAlignment="1">
      <alignment horizontal="left"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41" fontId="0" fillId="0" borderId="48" xfId="1" applyFont="1" applyBorder="1">
      <alignment vertical="center"/>
    </xf>
    <xf numFmtId="0" fontId="19" fillId="0" borderId="0" xfId="0" applyFont="1" applyAlignment="1">
      <alignment horizontal="left" vertical="center"/>
    </xf>
    <xf numFmtId="10" fontId="16" fillId="3" borderId="32" xfId="0" quotePrefix="1" applyNumberFormat="1" applyFont="1" applyFill="1" applyBorder="1" applyAlignment="1">
      <alignment horizontal="left" vertical="center" shrinkToFit="1"/>
    </xf>
    <xf numFmtId="0" fontId="0" fillId="0" borderId="50" xfId="0" applyBorder="1" applyAlignment="1">
      <alignment horizontal="right" vertical="center"/>
    </xf>
    <xf numFmtId="41" fontId="0" fillId="0" borderId="51" xfId="1" applyFont="1" applyBorder="1">
      <alignment vertical="center"/>
    </xf>
    <xf numFmtId="0" fontId="0" fillId="0" borderId="0" xfId="0" applyAlignment="1">
      <alignment vertical="center" shrinkToFit="1"/>
    </xf>
    <xf numFmtId="179" fontId="16" fillId="0" borderId="28" xfId="0" quotePrefix="1" applyNumberFormat="1" applyFont="1" applyBorder="1" applyAlignment="1">
      <alignment horizontal="left" vertical="center" shrinkToFit="1"/>
    </xf>
    <xf numFmtId="0" fontId="16" fillId="0" borderId="32" xfId="0" quotePrefix="1" applyFont="1" applyBorder="1" applyAlignment="1">
      <alignment horizontal="left" vertical="center" shrinkToFit="1"/>
    </xf>
    <xf numFmtId="0" fontId="16" fillId="0" borderId="56" xfId="0" quotePrefix="1" applyFont="1" applyBorder="1" applyAlignment="1">
      <alignment horizontal="distributed" vertical="distributed" wrapText="1" indent="2"/>
    </xf>
    <xf numFmtId="176" fontId="16" fillId="0" borderId="57" xfId="0" applyNumberFormat="1" applyFont="1" applyBorder="1" applyAlignment="1">
      <alignment vertical="center" wrapText="1"/>
    </xf>
    <xf numFmtId="176" fontId="16" fillId="0" borderId="58" xfId="0" applyNumberFormat="1" applyFont="1" applyBorder="1" applyAlignment="1">
      <alignment vertical="center" wrapText="1"/>
    </xf>
    <xf numFmtId="176" fontId="17" fillId="0" borderId="58" xfId="0" applyNumberFormat="1" applyFont="1" applyBorder="1" applyAlignment="1">
      <alignment vertical="center" wrapText="1"/>
    </xf>
    <xf numFmtId="0" fontId="16" fillId="0" borderId="56" xfId="0" quotePrefix="1" applyFont="1" applyBorder="1" applyAlignment="1">
      <alignment horizontal="left" vertical="center" shrinkToFit="1"/>
    </xf>
    <xf numFmtId="0" fontId="23" fillId="0" borderId="23" xfId="0" quotePrefix="1" applyFont="1" applyBorder="1" applyAlignment="1">
      <alignment horizontal="left" vertical="center" shrinkToFit="1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80" fontId="0" fillId="0" borderId="70" xfId="0" applyNumberFormat="1" applyBorder="1">
      <alignment vertical="center"/>
    </xf>
    <xf numFmtId="0" fontId="0" fillId="0" borderId="49" xfId="0" applyBorder="1">
      <alignment vertical="center"/>
    </xf>
    <xf numFmtId="181" fontId="0" fillId="0" borderId="49" xfId="1" applyNumberFormat="1" applyFont="1" applyBorder="1">
      <alignment vertical="center"/>
    </xf>
    <xf numFmtId="176" fontId="16" fillId="0" borderId="29" xfId="0" applyNumberFormat="1" applyFont="1" applyBorder="1" applyAlignment="1">
      <alignment vertical="center" wrapText="1"/>
    </xf>
    <xf numFmtId="176" fontId="16" fillId="0" borderId="30" xfId="0" applyNumberFormat="1" applyFont="1" applyBorder="1" applyAlignment="1">
      <alignment vertical="center" wrapText="1"/>
    </xf>
    <xf numFmtId="0" fontId="0" fillId="0" borderId="75" xfId="0" applyBorder="1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0" fontId="0" fillId="0" borderId="76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180" fontId="0" fillId="0" borderId="79" xfId="0" applyNumberFormat="1" applyBorder="1">
      <alignment vertical="center"/>
    </xf>
    <xf numFmtId="176" fontId="23" fillId="0" borderId="33" xfId="0" applyNumberFormat="1" applyFont="1" applyBorder="1" applyAlignment="1">
      <alignment vertical="center" wrapText="1"/>
    </xf>
    <xf numFmtId="180" fontId="23" fillId="0" borderId="55" xfId="0" quotePrefix="1" applyNumberFormat="1" applyFont="1" applyBorder="1" applyAlignment="1">
      <alignment vertical="center" shrinkToFit="1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176" fontId="16" fillId="4" borderId="57" xfId="0" applyNumberFormat="1" applyFont="1" applyFill="1" applyBorder="1" applyAlignment="1">
      <alignment vertical="center" wrapText="1"/>
    </xf>
    <xf numFmtId="176" fontId="16" fillId="4" borderId="58" xfId="0" applyNumberFormat="1" applyFont="1" applyFill="1" applyBorder="1" applyAlignment="1">
      <alignment vertical="center" wrapText="1"/>
    </xf>
    <xf numFmtId="0" fontId="0" fillId="0" borderId="24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180" fontId="0" fillId="0" borderId="51" xfId="0" applyNumberFormat="1" applyBorder="1">
      <alignment vertical="center"/>
    </xf>
    <xf numFmtId="0" fontId="0" fillId="0" borderId="52" xfId="0" applyBorder="1">
      <alignment vertical="center"/>
    </xf>
    <xf numFmtId="181" fontId="0" fillId="0" borderId="41" xfId="1" applyNumberFormat="1" applyFont="1" applyBorder="1">
      <alignment vertical="center"/>
    </xf>
    <xf numFmtId="179" fontId="16" fillId="0" borderId="0" xfId="0" quotePrefix="1" applyNumberFormat="1" applyFont="1" applyAlignment="1">
      <alignment horizontal="left" vertical="center" shrinkToFit="1"/>
    </xf>
    <xf numFmtId="0" fontId="24" fillId="0" borderId="0" xfId="0" applyFont="1">
      <alignment vertical="center"/>
    </xf>
    <xf numFmtId="176" fontId="16" fillId="4" borderId="10" xfId="0" applyNumberFormat="1" applyFont="1" applyFill="1" applyBorder="1" applyAlignment="1">
      <alignment vertical="center" wrapText="1"/>
    </xf>
    <xf numFmtId="176" fontId="25" fillId="0" borderId="1" xfId="0" applyNumberFormat="1" applyFont="1" applyBorder="1" applyAlignment="1">
      <alignment vertical="center" wrapText="1"/>
    </xf>
    <xf numFmtId="0" fontId="17" fillId="0" borderId="23" xfId="0" quotePrefix="1" applyFont="1" applyBorder="1" applyAlignment="1">
      <alignment horizontal="left" vertical="center" shrinkToFit="1"/>
    </xf>
    <xf numFmtId="0" fontId="26" fillId="0" borderId="0" xfId="0" applyFont="1">
      <alignment vertical="center"/>
    </xf>
    <xf numFmtId="0" fontId="0" fillId="0" borderId="0" xfId="0" applyAlignment="1">
      <alignment horizontal="right" vertical="center"/>
    </xf>
    <xf numFmtId="0" fontId="16" fillId="0" borderId="82" xfId="0" applyFont="1" applyBorder="1" applyAlignment="1">
      <alignment horizontal="distributed" vertical="distributed" wrapText="1" indent="4"/>
    </xf>
    <xf numFmtId="0" fontId="16" fillId="0" borderId="60" xfId="0" quotePrefix="1" applyFont="1" applyBorder="1" applyAlignment="1">
      <alignment horizontal="distributed" vertical="distributed" wrapText="1" indent="4"/>
    </xf>
    <xf numFmtId="0" fontId="16" fillId="0" borderId="61" xfId="0" quotePrefix="1" applyFont="1" applyBorder="1" applyAlignment="1">
      <alignment horizontal="distributed" vertical="distributed" wrapText="1" indent="4"/>
    </xf>
    <xf numFmtId="0" fontId="16" fillId="0" borderId="59" xfId="0" quotePrefix="1" applyFont="1" applyBorder="1" applyAlignment="1">
      <alignment horizontal="right" vertical="center" shrinkToFit="1"/>
    </xf>
    <xf numFmtId="0" fontId="16" fillId="0" borderId="60" xfId="0" quotePrefix="1" applyFont="1" applyBorder="1" applyAlignment="1">
      <alignment horizontal="right" vertical="center" shrinkToFit="1"/>
    </xf>
    <xf numFmtId="0" fontId="16" fillId="0" borderId="61" xfId="0" quotePrefix="1" applyFont="1" applyBorder="1" applyAlignment="1">
      <alignment horizontal="right" vertical="center" shrinkToFit="1"/>
    </xf>
    <xf numFmtId="0" fontId="23" fillId="0" borderId="57" xfId="0" applyFont="1" applyBorder="1" applyAlignment="1">
      <alignment horizontal="left" vertical="center" shrinkToFit="1"/>
    </xf>
    <xf numFmtId="0" fontId="23" fillId="0" borderId="62" xfId="0" quotePrefix="1" applyFont="1" applyBorder="1" applyAlignment="1">
      <alignment horizontal="left" vertical="center" shrinkToFit="1"/>
    </xf>
    <xf numFmtId="41" fontId="0" fillId="0" borderId="88" xfId="1" applyFont="1" applyBorder="1" applyAlignment="1">
      <alignment horizontal="center" vertical="center"/>
    </xf>
    <xf numFmtId="41" fontId="0" fillId="0" borderId="89" xfId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distributed" vertical="distributed" wrapText="1" indent="4"/>
    </xf>
    <xf numFmtId="0" fontId="25" fillId="0" borderId="23" xfId="0" quotePrefix="1" applyFont="1" applyBorder="1" applyAlignment="1">
      <alignment horizontal="right" vertical="center" shrinkToFit="1"/>
    </xf>
    <xf numFmtId="0" fontId="17" fillId="0" borderId="23" xfId="0" quotePrefix="1" applyFont="1" applyBorder="1" applyAlignment="1">
      <alignment horizontal="right" vertical="center" shrinkToFit="1"/>
    </xf>
    <xf numFmtId="0" fontId="23" fillId="0" borderId="22" xfId="0" quotePrefix="1" applyFont="1" applyBorder="1" applyAlignment="1">
      <alignment horizontal="left" vertical="center" shrinkToFit="1"/>
    </xf>
    <xf numFmtId="0" fontId="23" fillId="0" borderId="24" xfId="0" quotePrefix="1" applyFont="1" applyBorder="1" applyAlignment="1">
      <alignment horizontal="left" vertical="center" shrinkToFit="1"/>
    </xf>
    <xf numFmtId="0" fontId="16" fillId="0" borderId="71" xfId="0" applyFont="1" applyBorder="1" applyAlignment="1">
      <alignment horizontal="distributed" vertical="distributed" wrapText="1" indent="4"/>
    </xf>
    <xf numFmtId="0" fontId="16" fillId="0" borderId="72" xfId="0" quotePrefix="1" applyFont="1" applyBorder="1" applyAlignment="1">
      <alignment horizontal="distributed" vertical="distributed" wrapText="1" indent="4"/>
    </xf>
    <xf numFmtId="0" fontId="16" fillId="0" borderId="73" xfId="0" quotePrefix="1" applyFont="1" applyBorder="1" applyAlignment="1">
      <alignment horizontal="distributed" vertical="distributed" wrapText="1" indent="4"/>
    </xf>
    <xf numFmtId="0" fontId="16" fillId="0" borderId="74" xfId="0" quotePrefix="1" applyFont="1" applyBorder="1" applyAlignment="1">
      <alignment horizontal="right" vertical="center" shrinkToFit="1"/>
    </xf>
    <xf numFmtId="0" fontId="16" fillId="0" borderId="72" xfId="0" quotePrefix="1" applyFont="1" applyBorder="1" applyAlignment="1">
      <alignment horizontal="right" vertical="center" shrinkToFit="1"/>
    </xf>
    <xf numFmtId="0" fontId="16" fillId="0" borderId="73" xfId="0" quotePrefix="1" applyFont="1" applyBorder="1" applyAlignment="1">
      <alignment horizontal="right" vertical="center" shrinkToFit="1"/>
    </xf>
    <xf numFmtId="0" fontId="23" fillId="0" borderId="29" xfId="0" applyFont="1" applyBorder="1" applyAlignment="1">
      <alignment horizontal="left" vertical="center" shrinkToFit="1"/>
    </xf>
    <xf numFmtId="0" fontId="23" fillId="0" borderId="31" xfId="0" quotePrefix="1" applyFont="1" applyBorder="1" applyAlignment="1">
      <alignment horizontal="left" vertical="center" shrinkToFit="1"/>
    </xf>
    <xf numFmtId="0" fontId="16" fillId="0" borderId="77" xfId="0" applyFont="1" applyBorder="1" applyAlignment="1">
      <alignment horizontal="distributed" vertical="distributed" wrapText="1" indent="4"/>
    </xf>
    <xf numFmtId="0" fontId="16" fillId="0" borderId="54" xfId="0" quotePrefix="1" applyFont="1" applyBorder="1" applyAlignment="1">
      <alignment horizontal="distributed" vertical="distributed" wrapText="1" indent="4"/>
    </xf>
    <xf numFmtId="0" fontId="16" fillId="0" borderId="55" xfId="0" quotePrefix="1" applyFont="1" applyBorder="1" applyAlignment="1">
      <alignment horizontal="distributed" vertical="distributed" wrapText="1" indent="4"/>
    </xf>
    <xf numFmtId="0" fontId="16" fillId="0" borderId="53" xfId="0" quotePrefix="1" applyFont="1" applyBorder="1" applyAlignment="1">
      <alignment horizontal="right" vertical="center" shrinkToFit="1"/>
    </xf>
    <xf numFmtId="0" fontId="16" fillId="0" borderId="54" xfId="0" quotePrefix="1" applyFont="1" applyBorder="1" applyAlignment="1">
      <alignment horizontal="right" vertical="center" shrinkToFit="1"/>
    </xf>
    <xf numFmtId="0" fontId="16" fillId="0" borderId="55" xfId="0" quotePrefix="1" applyFont="1" applyBorder="1" applyAlignment="1">
      <alignment horizontal="right" vertical="center" shrinkToFit="1"/>
    </xf>
    <xf numFmtId="0" fontId="23" fillId="0" borderId="33" xfId="0" applyFont="1" applyBorder="1" applyAlignment="1">
      <alignment horizontal="left" vertical="center" shrinkToFit="1"/>
    </xf>
    <xf numFmtId="0" fontId="23" fillId="0" borderId="35" xfId="0" quotePrefix="1" applyFont="1" applyBorder="1" applyAlignment="1">
      <alignment horizontal="left" vertical="center" shrinkToFit="1"/>
    </xf>
    <xf numFmtId="41" fontId="0" fillId="0" borderId="86" xfId="1" applyFont="1" applyBorder="1" applyAlignment="1">
      <alignment horizontal="center" vertical="center"/>
    </xf>
    <xf numFmtId="41" fontId="0" fillId="0" borderId="87" xfId="1" applyFont="1" applyBorder="1" applyAlignment="1">
      <alignment horizontal="center" vertical="center"/>
    </xf>
    <xf numFmtId="0" fontId="17" fillId="0" borderId="67" xfId="0" quotePrefix="1" applyFont="1" applyBorder="1" applyAlignment="1">
      <alignment horizontal="distributed" vertical="distributed" wrapText="1" indent="4"/>
    </xf>
    <xf numFmtId="0" fontId="17" fillId="0" borderId="64" xfId="0" quotePrefix="1" applyFont="1" applyBorder="1" applyAlignment="1">
      <alignment horizontal="distributed" vertical="distributed" wrapText="1" indent="4"/>
    </xf>
    <xf numFmtId="0" fontId="17" fillId="0" borderId="65" xfId="0" quotePrefix="1" applyFont="1" applyBorder="1" applyAlignment="1">
      <alignment horizontal="distributed" vertical="distributed" wrapText="1" indent="4"/>
    </xf>
    <xf numFmtId="0" fontId="23" fillId="0" borderId="63" xfId="0" quotePrefix="1" applyFont="1" applyBorder="1" applyAlignment="1">
      <alignment horizontal="right" vertical="center" shrinkToFit="1"/>
    </xf>
    <xf numFmtId="0" fontId="23" fillId="0" borderId="64" xfId="0" quotePrefix="1" applyFont="1" applyBorder="1" applyAlignment="1">
      <alignment horizontal="right" vertical="center" shrinkToFit="1"/>
    </xf>
    <xf numFmtId="0" fontId="23" fillId="0" borderId="65" xfId="0" quotePrefix="1" applyFont="1" applyBorder="1" applyAlignment="1">
      <alignment horizontal="right" vertical="center" shrinkToFit="1"/>
    </xf>
    <xf numFmtId="0" fontId="23" fillId="0" borderId="22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6" fillId="0" borderId="85" xfId="0" quotePrefix="1" applyFont="1" applyBorder="1" applyAlignment="1">
      <alignment horizontal="distributed" vertical="distributed" wrapText="1" indent="4"/>
    </xf>
    <xf numFmtId="0" fontId="16" fillId="0" borderId="19" xfId="0" quotePrefix="1" applyFont="1" applyBorder="1" applyAlignment="1">
      <alignment horizontal="distributed" vertical="distributed" wrapText="1" indent="4"/>
    </xf>
    <xf numFmtId="0" fontId="16" fillId="0" borderId="20" xfId="0" quotePrefix="1" applyFont="1" applyBorder="1" applyAlignment="1">
      <alignment horizontal="distributed" vertical="distributed" wrapText="1" indent="4"/>
    </xf>
    <xf numFmtId="0" fontId="16" fillId="0" borderId="18" xfId="0" quotePrefix="1" applyFont="1" applyBorder="1" applyAlignment="1">
      <alignment horizontal="right" vertical="center" shrinkToFit="1"/>
    </xf>
    <xf numFmtId="0" fontId="16" fillId="0" borderId="19" xfId="0" quotePrefix="1" applyFont="1" applyBorder="1" applyAlignment="1">
      <alignment horizontal="right" vertical="center" shrinkToFit="1"/>
    </xf>
    <xf numFmtId="0" fontId="16" fillId="0" borderId="20" xfId="0" quotePrefix="1" applyFont="1" applyBorder="1" applyAlignment="1">
      <alignment horizontal="right" vertical="center" shrinkToFit="1"/>
    </xf>
    <xf numFmtId="0" fontId="16" fillId="0" borderId="16" xfId="0" quotePrefix="1" applyFont="1" applyBorder="1" applyAlignment="1">
      <alignment horizontal="left" vertical="center" shrinkToFit="1"/>
    </xf>
    <xf numFmtId="0" fontId="16" fillId="0" borderId="21" xfId="0" quotePrefix="1" applyFont="1" applyBorder="1" applyAlignment="1">
      <alignment horizontal="left" vertical="center" shrinkToFit="1"/>
    </xf>
    <xf numFmtId="0" fontId="23" fillId="0" borderId="77" xfId="0" applyFont="1" applyBorder="1" applyAlignment="1">
      <alignment horizontal="distributed" vertical="distributed" wrapText="1" indent="4"/>
    </xf>
    <xf numFmtId="0" fontId="23" fillId="0" borderId="54" xfId="0" applyFont="1" applyBorder="1" applyAlignment="1">
      <alignment horizontal="distributed" vertical="distributed" wrapText="1" indent="4"/>
    </xf>
    <xf numFmtId="0" fontId="23" fillId="0" borderId="55" xfId="0" applyFont="1" applyBorder="1" applyAlignment="1">
      <alignment horizontal="distributed" vertical="distributed" wrapText="1" indent="4"/>
    </xf>
    <xf numFmtId="0" fontId="23" fillId="0" borderId="33" xfId="0" quotePrefix="1" applyFont="1" applyBorder="1" applyAlignment="1">
      <alignment horizontal="center" vertical="center" shrinkToFit="1"/>
    </xf>
    <xf numFmtId="0" fontId="23" fillId="0" borderId="32" xfId="0" quotePrefix="1" applyFont="1" applyBorder="1" applyAlignment="1">
      <alignment horizontal="center" vertical="center" shrinkToFit="1"/>
    </xf>
    <xf numFmtId="0" fontId="23" fillId="0" borderId="53" xfId="0" quotePrefix="1" applyFont="1" applyBorder="1" applyAlignment="1">
      <alignment horizontal="center" vertical="center" shrinkToFit="1"/>
    </xf>
    <xf numFmtId="0" fontId="16" fillId="0" borderId="33" xfId="0" quotePrefix="1" applyFont="1" applyBorder="1" applyAlignment="1">
      <alignment horizontal="left" vertical="center"/>
    </xf>
    <xf numFmtId="0" fontId="16" fillId="0" borderId="35" xfId="0" quotePrefix="1" applyFont="1" applyBorder="1" applyAlignment="1">
      <alignment horizontal="left" vertical="center"/>
    </xf>
    <xf numFmtId="0" fontId="16" fillId="0" borderId="60" xfId="0" applyFont="1" applyBorder="1" applyAlignment="1">
      <alignment horizontal="distributed" vertical="distributed" wrapText="1" indent="4"/>
    </xf>
    <xf numFmtId="0" fontId="16" fillId="0" borderId="61" xfId="0" applyFont="1" applyBorder="1" applyAlignment="1">
      <alignment horizontal="distributed" vertical="distributed" wrapText="1" indent="4"/>
    </xf>
    <xf numFmtId="0" fontId="16" fillId="0" borderId="59" xfId="0" quotePrefix="1" applyFont="1" applyBorder="1" applyAlignment="1">
      <alignment horizontal="center" vertical="center" shrinkToFit="1"/>
    </xf>
    <xf numFmtId="0" fontId="16" fillId="0" borderId="60" xfId="0" quotePrefix="1" applyFont="1" applyBorder="1" applyAlignment="1">
      <alignment horizontal="center" vertical="center" shrinkToFit="1"/>
    </xf>
    <xf numFmtId="0" fontId="16" fillId="0" borderId="61" xfId="0" quotePrefix="1" applyFont="1" applyBorder="1" applyAlignment="1">
      <alignment horizontal="center" vertical="center" shrinkToFit="1"/>
    </xf>
    <xf numFmtId="0" fontId="16" fillId="0" borderId="57" xfId="0" quotePrefix="1" applyFont="1" applyBorder="1" applyAlignment="1">
      <alignment horizontal="left" vertical="center" shrinkToFit="1"/>
    </xf>
    <xf numFmtId="0" fontId="16" fillId="0" borderId="62" xfId="0" quotePrefix="1" applyFont="1" applyBorder="1" applyAlignment="1">
      <alignment horizontal="left" vertical="center" shrinkToFit="1"/>
    </xf>
    <xf numFmtId="0" fontId="16" fillId="0" borderId="71" xfId="0" quotePrefix="1" applyFont="1" applyBorder="1" applyAlignment="1">
      <alignment horizontal="distributed" vertical="distributed" wrapText="1" indent="4"/>
    </xf>
    <xf numFmtId="0" fontId="16" fillId="0" borderId="29" xfId="0" applyFont="1" applyBorder="1" applyAlignment="1">
      <alignment horizontal="left" vertical="center" shrinkToFit="1"/>
    </xf>
    <xf numFmtId="0" fontId="16" fillId="0" borderId="31" xfId="0" quotePrefix="1" applyFont="1" applyBorder="1" applyAlignment="1">
      <alignment horizontal="left" vertical="center" shrinkToFit="1"/>
    </xf>
    <xf numFmtId="0" fontId="16" fillId="0" borderId="77" xfId="0" quotePrefix="1" applyFont="1" applyBorder="1" applyAlignment="1">
      <alignment horizontal="distributed" vertical="distributed" wrapText="1" indent="4"/>
    </xf>
    <xf numFmtId="0" fontId="16" fillId="0" borderId="33" xfId="0" applyFont="1" applyBorder="1" applyAlignment="1">
      <alignment horizontal="left" vertical="center" shrinkToFit="1"/>
    </xf>
    <xf numFmtId="0" fontId="16" fillId="0" borderId="35" xfId="0" quotePrefix="1" applyFont="1" applyBorder="1" applyAlignment="1">
      <alignment horizontal="left" vertical="center" shrinkToFit="1"/>
    </xf>
    <xf numFmtId="0" fontId="17" fillId="0" borderId="67" xfId="0" quotePrefix="1" applyFont="1" applyBorder="1" applyAlignment="1">
      <alignment horizontal="center" vertical="center" wrapText="1"/>
    </xf>
    <xf numFmtId="0" fontId="17" fillId="0" borderId="64" xfId="0" quotePrefix="1" applyFont="1" applyBorder="1" applyAlignment="1">
      <alignment horizontal="center" vertical="center" wrapText="1"/>
    </xf>
    <xf numFmtId="0" fontId="17" fillId="0" borderId="65" xfId="0" quotePrefix="1" applyFont="1" applyBorder="1" applyAlignment="1">
      <alignment horizontal="center" vertical="center" wrapText="1"/>
    </xf>
    <xf numFmtId="176" fontId="16" fillId="0" borderId="53" xfId="0" applyNumberFormat="1" applyFont="1" applyBorder="1" applyAlignment="1">
      <alignment horizontal="right" vertical="center" shrinkToFit="1"/>
    </xf>
    <xf numFmtId="176" fontId="16" fillId="0" borderId="54" xfId="0" applyNumberFormat="1" applyFont="1" applyBorder="1" applyAlignment="1">
      <alignment horizontal="right" vertical="center" shrinkToFit="1"/>
    </xf>
    <xf numFmtId="176" fontId="16" fillId="0" borderId="55" xfId="0" applyNumberFormat="1" applyFont="1" applyBorder="1" applyAlignment="1">
      <alignment horizontal="right" vertical="center" shrinkToFit="1"/>
    </xf>
    <xf numFmtId="0" fontId="16" fillId="0" borderId="33" xfId="0" quotePrefix="1" applyFont="1" applyBorder="1" applyAlignment="1">
      <alignment horizontal="left" vertical="center" shrinkToFit="1"/>
    </xf>
    <xf numFmtId="176" fontId="16" fillId="0" borderId="59" xfId="0" applyNumberFormat="1" applyFont="1" applyBorder="1" applyAlignment="1">
      <alignment horizontal="right" vertical="center" shrinkToFit="1"/>
    </xf>
    <xf numFmtId="176" fontId="16" fillId="0" borderId="60" xfId="0" applyNumberFormat="1" applyFont="1" applyBorder="1" applyAlignment="1">
      <alignment horizontal="right" vertical="center" shrinkToFit="1"/>
    </xf>
    <xf numFmtId="176" fontId="16" fillId="0" borderId="61" xfId="0" applyNumberFormat="1" applyFont="1" applyBorder="1" applyAlignment="1">
      <alignment horizontal="right" vertical="center" shrinkToFit="1"/>
    </xf>
    <xf numFmtId="0" fontId="16" fillId="0" borderId="1" xfId="0" quotePrefix="1" applyFont="1" applyBorder="1" applyAlignment="1">
      <alignment horizontal="center" vertical="center" wrapText="1"/>
    </xf>
    <xf numFmtId="0" fontId="0" fillId="0" borderId="48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16" fillId="3" borderId="33" xfId="0" applyFont="1" applyFill="1" applyBorder="1" applyAlignment="1">
      <alignment horizontal="right" vertical="center" shrinkToFit="1"/>
    </xf>
    <xf numFmtId="0" fontId="16" fillId="3" borderId="32" xfId="0" applyFont="1" applyFill="1" applyBorder="1" applyAlignment="1">
      <alignment horizontal="righ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16" fillId="0" borderId="33" xfId="0" quotePrefix="1" applyFont="1" applyBorder="1" applyAlignment="1">
      <alignment horizontal="right" vertical="center" shrinkToFit="1"/>
    </xf>
    <xf numFmtId="0" fontId="16" fillId="0" borderId="32" xfId="0" quotePrefix="1" applyFont="1" applyBorder="1" applyAlignment="1">
      <alignment horizontal="right" vertical="center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0" borderId="63" xfId="0" quotePrefix="1" applyFont="1" applyBorder="1" applyAlignment="1">
      <alignment horizontal="right" vertical="center" shrinkToFit="1"/>
    </xf>
    <xf numFmtId="0" fontId="16" fillId="0" borderId="64" xfId="0" quotePrefix="1" applyFont="1" applyBorder="1" applyAlignment="1">
      <alignment horizontal="right" vertical="center" shrinkToFit="1"/>
    </xf>
    <xf numFmtId="0" fontId="16" fillId="0" borderId="65" xfId="0" quotePrefix="1" applyFont="1" applyBorder="1" applyAlignment="1">
      <alignment horizontal="right" vertical="center" shrinkToFit="1"/>
    </xf>
    <xf numFmtId="0" fontId="16" fillId="0" borderId="22" xfId="0" quotePrefix="1" applyFont="1" applyBorder="1" applyAlignment="1">
      <alignment horizontal="left" vertical="center" shrinkToFit="1"/>
    </xf>
    <xf numFmtId="0" fontId="16" fillId="0" borderId="24" xfId="0" quotePrefix="1" applyFont="1" applyBorder="1" applyAlignment="1">
      <alignment horizontal="left" vertical="center" shrinkToFit="1"/>
    </xf>
    <xf numFmtId="0" fontId="0" fillId="0" borderId="3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1" fillId="0" borderId="39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176" fontId="22" fillId="0" borderId="40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 shrinkToFit="1"/>
    </xf>
    <xf numFmtId="0" fontId="16" fillId="0" borderId="2" xfId="0" quotePrefix="1" applyFont="1" applyBorder="1" applyAlignment="1">
      <alignment horizontal="right" vertical="center" shrinkToFit="1"/>
    </xf>
    <xf numFmtId="0" fontId="16" fillId="0" borderId="7" xfId="0" quotePrefix="1" applyFont="1" applyBorder="1" applyAlignment="1">
      <alignment horizontal="right" vertical="center" shrinkToFit="1"/>
    </xf>
    <xf numFmtId="0" fontId="16" fillId="0" borderId="29" xfId="0" quotePrefix="1" applyFont="1" applyBorder="1" applyAlignment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16" fillId="3" borderId="33" xfId="0" quotePrefix="1" applyFont="1" applyFill="1" applyBorder="1" applyAlignment="1">
      <alignment horizontal="right" vertical="center" shrinkToFit="1"/>
    </xf>
    <xf numFmtId="0" fontId="16" fillId="3" borderId="32" xfId="0" quotePrefix="1" applyFont="1" applyFill="1" applyBorder="1" applyAlignment="1">
      <alignment horizontal="right" vertical="center" shrinkToFit="1"/>
    </xf>
    <xf numFmtId="0" fontId="16" fillId="0" borderId="35" xfId="0" quotePrefix="1" applyFont="1" applyBorder="1" applyAlignment="1">
      <alignment horizontal="right" vertical="center" shrinkToFit="1"/>
    </xf>
    <xf numFmtId="0" fontId="23" fillId="0" borderId="77" xfId="0" applyFont="1" applyBorder="1" applyAlignment="1">
      <alignment horizontal="left" vertical="center" shrinkToFit="1"/>
    </xf>
    <xf numFmtId="0" fontId="23" fillId="0" borderId="90" xfId="0" quotePrefix="1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4" fillId="0" borderId="1" xfId="0" quotePrefix="1" applyFont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0" fontId="16" fillId="0" borderId="1" xfId="0" quotePrefix="1" applyFont="1" applyBorder="1" applyAlignment="1">
      <alignment horizontal="distributed" vertical="center" wrapText="1"/>
    </xf>
    <xf numFmtId="0" fontId="16" fillId="0" borderId="4" xfId="0" quotePrefix="1" applyFont="1" applyBorder="1" applyAlignment="1">
      <alignment horizontal="right" vertical="center" shrinkToFit="1"/>
    </xf>
    <xf numFmtId="0" fontId="16" fillId="0" borderId="5" xfId="0" quotePrefix="1" applyFont="1" applyBorder="1" applyAlignment="1">
      <alignment horizontal="right" vertical="center" shrinkToFit="1"/>
    </xf>
    <xf numFmtId="0" fontId="16" fillId="0" borderId="6" xfId="0" quotePrefix="1" applyFont="1" applyBorder="1" applyAlignment="1">
      <alignment horizontal="right" vertical="center" shrinkToFit="1"/>
    </xf>
    <xf numFmtId="0" fontId="16" fillId="0" borderId="2" xfId="0" quotePrefix="1" applyFont="1" applyBorder="1" applyAlignment="1">
      <alignment horizontal="left" vertical="center" shrinkToFit="1"/>
    </xf>
    <xf numFmtId="0" fontId="16" fillId="0" borderId="8" xfId="0" quotePrefix="1" applyFont="1" applyBorder="1" applyAlignment="1">
      <alignment horizontal="left" vertical="center" shrinkToFit="1"/>
    </xf>
    <xf numFmtId="0" fontId="16" fillId="0" borderId="9" xfId="0" quotePrefix="1" applyFont="1" applyBorder="1" applyAlignment="1">
      <alignment horizontal="right" vertical="center" shrinkToFit="1"/>
    </xf>
    <xf numFmtId="0" fontId="16" fillId="0" borderId="14" xfId="0" quotePrefix="1" applyFont="1" applyBorder="1" applyAlignment="1">
      <alignment horizontal="right" vertical="center" shrinkToFit="1"/>
    </xf>
    <xf numFmtId="0" fontId="23" fillId="0" borderId="82" xfId="0" quotePrefix="1" applyFont="1" applyBorder="1" applyAlignment="1">
      <alignment horizontal="left" vertical="center" shrinkToFit="1"/>
    </xf>
    <xf numFmtId="0" fontId="23" fillId="0" borderId="91" xfId="0" quotePrefix="1" applyFont="1" applyBorder="1" applyAlignment="1">
      <alignment horizontal="left" vertical="center" shrinkToFit="1"/>
    </xf>
    <xf numFmtId="0" fontId="16" fillId="0" borderId="22" xfId="0" quotePrefix="1" applyFont="1" applyBorder="1" applyAlignment="1">
      <alignment horizontal="right" vertical="center" shrinkToFit="1"/>
    </xf>
    <xf numFmtId="0" fontId="16" fillId="0" borderId="23" xfId="0" quotePrefix="1" applyFont="1" applyBorder="1" applyAlignment="1">
      <alignment horizontal="right" vertical="center" shrinkToFit="1"/>
    </xf>
    <xf numFmtId="0" fontId="16" fillId="0" borderId="4" xfId="0" quotePrefix="1" applyFont="1" applyBorder="1" applyAlignment="1">
      <alignment horizontal="right" vertical="center" wrapText="1"/>
    </xf>
    <xf numFmtId="0" fontId="16" fillId="0" borderId="5" xfId="0" quotePrefix="1" applyFont="1" applyBorder="1" applyAlignment="1">
      <alignment horizontal="right" vertical="center" wrapText="1"/>
    </xf>
    <xf numFmtId="0" fontId="16" fillId="0" borderId="6" xfId="0" quotePrefix="1" applyFont="1" applyBorder="1" applyAlignment="1">
      <alignment horizontal="right" vertical="center" wrapText="1"/>
    </xf>
    <xf numFmtId="0" fontId="16" fillId="0" borderId="2" xfId="0" quotePrefix="1" applyFont="1" applyBorder="1" applyAlignment="1">
      <alignment horizontal="left" vertical="center" wrapText="1"/>
    </xf>
    <xf numFmtId="0" fontId="16" fillId="0" borderId="8" xfId="0" quotePrefix="1" applyFont="1" applyBorder="1" applyAlignment="1">
      <alignment horizontal="left" vertical="center" wrapText="1"/>
    </xf>
    <xf numFmtId="0" fontId="16" fillId="0" borderId="11" xfId="0" quotePrefix="1" applyFont="1" applyBorder="1" applyAlignment="1">
      <alignment horizontal="center" vertical="center" shrinkToFit="1"/>
    </xf>
    <xf numFmtId="0" fontId="16" fillId="0" borderId="12" xfId="0" quotePrefix="1" applyFont="1" applyBorder="1" applyAlignment="1">
      <alignment horizontal="center" vertical="center" shrinkToFit="1"/>
    </xf>
    <xf numFmtId="0" fontId="16" fillId="0" borderId="13" xfId="0" quotePrefix="1" applyFont="1" applyBorder="1" applyAlignment="1">
      <alignment horizontal="center" vertical="center" shrinkToFit="1"/>
    </xf>
    <xf numFmtId="0" fontId="16" fillId="0" borderId="9" xfId="0" quotePrefix="1" applyFont="1" applyBorder="1" applyAlignment="1">
      <alignment horizontal="left" vertical="center" shrinkToFit="1"/>
    </xf>
    <xf numFmtId="0" fontId="16" fillId="0" borderId="15" xfId="0" quotePrefix="1" applyFont="1" applyBorder="1" applyAlignment="1">
      <alignment horizontal="left" vertical="center" shrinkToFi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6" fillId="0" borderId="0" xfId="0" quotePrefix="1" applyFont="1">
      <alignment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149678</xdr:colOff>
      <xdr:row>107</xdr:row>
      <xdr:rowOff>13612</xdr:rowOff>
    </xdr:from>
    <xdr:to>
      <xdr:col>16</xdr:col>
      <xdr:colOff>1387928</xdr:colOff>
      <xdr:row>173</xdr:row>
      <xdr:rowOff>137371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E2FD6AF-87D4-44EF-9933-5EA39C336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" y="24902437"/>
          <a:ext cx="9093654" cy="13954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GridLines="0" tabSelected="1" view="pageBreakPreview" topLeftCell="B2" zoomScale="70" zoomScaleSheetLayoutView="70" workbookViewId="0">
      <selection activeCell="K53" sqref="K53"/>
    </sheetView>
  </sheetViews>
  <sheetFormatPr defaultRowHeight="16.5" x14ac:dyDescent="0.3"/>
  <cols>
    <col min="1" max="1" width="3.625" hidden="1" customWidth="1"/>
    <col min="2" max="2" width="2.125" customWidth="1"/>
    <col min="3" max="4" width="5.125" customWidth="1"/>
    <col min="5" max="5" width="35.625" customWidth="1"/>
    <col min="6" max="10" width="20.625" hidden="1" customWidth="1"/>
    <col min="11" max="11" width="20.625" customWidth="1"/>
    <col min="12" max="12" width="7.375" customWidth="1"/>
    <col min="13" max="13" width="14.625" customWidth="1"/>
    <col min="14" max="15" width="2.625" customWidth="1"/>
    <col min="16" max="16" width="7.25" style="19" customWidth="1"/>
    <col min="17" max="17" width="51.25" customWidth="1"/>
    <col min="18" max="18" width="4.875" customWidth="1"/>
    <col min="20" max="22" width="12.625" customWidth="1"/>
    <col min="23" max="23" width="9.625" customWidth="1"/>
    <col min="24" max="24" width="15.625" customWidth="1"/>
    <col min="25" max="25" width="9.625" customWidth="1"/>
    <col min="26" max="26" width="12.625" customWidth="1"/>
    <col min="27" max="30" width="9.625" customWidth="1"/>
  </cols>
  <sheetData>
    <row r="1" spans="1:27" ht="12" hidden="1" customHeight="1" x14ac:dyDescent="0.3">
      <c r="C1" t="s">
        <v>134</v>
      </c>
      <c r="F1" s="19" t="s">
        <v>135</v>
      </c>
      <c r="G1" s="19" t="s">
        <v>135</v>
      </c>
      <c r="H1" s="19" t="s">
        <v>135</v>
      </c>
      <c r="I1" s="19" t="s">
        <v>135</v>
      </c>
      <c r="J1" s="19" t="s">
        <v>135</v>
      </c>
      <c r="K1" s="19" t="s">
        <v>135</v>
      </c>
    </row>
    <row r="2" spans="1:27" ht="15" customHeight="1" x14ac:dyDescent="0.3">
      <c r="C2" t="s">
        <v>136</v>
      </c>
      <c r="E2" s="20">
        <v>2</v>
      </c>
      <c r="F2" s="20">
        <v>7</v>
      </c>
      <c r="G2" s="20">
        <v>9</v>
      </c>
      <c r="H2" s="20">
        <v>12</v>
      </c>
      <c r="I2" s="20">
        <v>16</v>
      </c>
      <c r="J2" s="20">
        <v>19</v>
      </c>
      <c r="K2" s="20"/>
    </row>
    <row r="3" spans="1:27" ht="39.950000000000003" customHeight="1" x14ac:dyDescent="0.3">
      <c r="B3" t="s">
        <v>137</v>
      </c>
      <c r="C3" s="241" t="s">
        <v>138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1"/>
      <c r="T3" s="22" t="s">
        <v>139</v>
      </c>
    </row>
    <row r="4" spans="1:27" ht="28.5" customHeight="1" x14ac:dyDescent="0.3">
      <c r="B4" s="20" t="s">
        <v>140</v>
      </c>
      <c r="C4" s="242" t="s">
        <v>141</v>
      </c>
      <c r="D4" s="242"/>
      <c r="E4" s="243" t="s">
        <v>267</v>
      </c>
      <c r="F4" s="244"/>
      <c r="G4" s="244"/>
      <c r="H4" s="244"/>
      <c r="I4" s="244"/>
      <c r="J4" s="244"/>
      <c r="K4" s="244"/>
      <c r="L4" s="23" t="s">
        <v>142</v>
      </c>
      <c r="M4" s="245">
        <f ca="1">K38</f>
        <v>58525000</v>
      </c>
      <c r="N4" s="245"/>
      <c r="O4" s="245"/>
      <c r="P4" s="245"/>
      <c r="Q4" s="24" t="str">
        <f ca="1">NUMBERSTRING(M4,1)</f>
        <v>오천팔백오십이만오천</v>
      </c>
      <c r="R4" s="25" t="s">
        <v>143</v>
      </c>
      <c r="W4" s="26"/>
    </row>
    <row r="5" spans="1:27" ht="21.95" customHeight="1" x14ac:dyDescent="0.15">
      <c r="B5" s="27"/>
      <c r="C5" s="246" t="s">
        <v>144</v>
      </c>
      <c r="D5" s="246"/>
      <c r="E5" s="246"/>
      <c r="F5" s="28" t="s">
        <v>145</v>
      </c>
      <c r="G5" s="28" t="s">
        <v>146</v>
      </c>
      <c r="H5" s="28" t="s">
        <v>147</v>
      </c>
      <c r="I5" s="28" t="s">
        <v>148</v>
      </c>
      <c r="J5" s="28" t="s">
        <v>149</v>
      </c>
      <c r="K5" s="28" t="s">
        <v>150</v>
      </c>
      <c r="L5" s="246" t="s">
        <v>151</v>
      </c>
      <c r="M5" s="246"/>
      <c r="N5" s="246"/>
      <c r="O5" s="246"/>
      <c r="P5" s="246"/>
      <c r="Q5" s="246" t="s">
        <v>75</v>
      </c>
      <c r="R5" s="246"/>
      <c r="V5" t="s">
        <v>152</v>
      </c>
      <c r="X5" s="29"/>
    </row>
    <row r="6" spans="1:27" ht="21.95" customHeight="1" x14ac:dyDescent="0.15">
      <c r="A6" s="1" t="s">
        <v>153</v>
      </c>
      <c r="B6" s="30" t="s">
        <v>55</v>
      </c>
      <c r="C6" s="207" t="s">
        <v>154</v>
      </c>
      <c r="D6" s="248" t="s">
        <v>155</v>
      </c>
      <c r="E6" s="31" t="s">
        <v>156</v>
      </c>
      <c r="F6" s="32"/>
      <c r="G6" s="32">
        <f ca="1">INDIRECT(G$1&amp;"!"&amp;$B6&amp;G$2)</f>
        <v>0</v>
      </c>
      <c r="H6" s="32">
        <f ca="1">INDIRECT(H$1&amp;"!"&amp;$B6&amp;H$2)</f>
        <v>0</v>
      </c>
      <c r="I6" s="32">
        <f ca="1">INDIRECT(I$1&amp;"!"&amp;$B6&amp;I$2)</f>
        <v>0</v>
      </c>
      <c r="J6" s="33">
        <f ca="1">INDIRECT(J$1&amp;"!"&amp;$B6&amp;J$2)</f>
        <v>0</v>
      </c>
      <c r="K6" s="34">
        <f ca="1">SUM(F6:J6)</f>
        <v>0</v>
      </c>
      <c r="L6" s="260" t="s">
        <v>52</v>
      </c>
      <c r="M6" s="261"/>
      <c r="N6" s="261"/>
      <c r="O6" s="262"/>
      <c r="P6" s="35"/>
      <c r="Q6" s="263" t="s">
        <v>52</v>
      </c>
      <c r="R6" s="264"/>
      <c r="T6" t="s">
        <v>157</v>
      </c>
      <c r="U6" s="247">
        <f ca="1">K6+K9+K12</f>
        <v>0</v>
      </c>
      <c r="V6" s="247"/>
      <c r="X6" s="36"/>
    </row>
    <row r="7" spans="1:27" ht="21.95" customHeight="1" x14ac:dyDescent="0.15">
      <c r="A7" s="1" t="s">
        <v>158</v>
      </c>
      <c r="B7" s="30"/>
      <c r="C7" s="207"/>
      <c r="D7" s="248"/>
      <c r="E7" s="37" t="s">
        <v>159</v>
      </c>
      <c r="F7" s="38"/>
      <c r="G7" s="38"/>
      <c r="H7" s="38"/>
      <c r="I7" s="38"/>
      <c r="J7" s="39"/>
      <c r="K7" s="40"/>
      <c r="L7" s="265" t="s">
        <v>52</v>
      </c>
      <c r="M7" s="266"/>
      <c r="N7" s="266"/>
      <c r="O7" s="267"/>
      <c r="P7" s="41"/>
      <c r="Q7" s="268" t="s">
        <v>52</v>
      </c>
      <c r="R7" s="269"/>
      <c r="T7" t="str">
        <f>E13</f>
        <v>운반비</v>
      </c>
      <c r="U7" s="247">
        <f>F13</f>
        <v>0</v>
      </c>
      <c r="V7" s="247"/>
    </row>
    <row r="8" spans="1:27" ht="21.95" customHeight="1" x14ac:dyDescent="0.15">
      <c r="A8" s="1" t="s">
        <v>160</v>
      </c>
      <c r="B8" s="42"/>
      <c r="C8" s="207"/>
      <c r="D8" s="248"/>
      <c r="E8" s="43" t="s">
        <v>161</v>
      </c>
      <c r="F8" s="44">
        <f>SUM(F6:F7)</f>
        <v>0</v>
      </c>
      <c r="G8" s="44">
        <f ca="1">SUM(G6:G7)</f>
        <v>0</v>
      </c>
      <c r="H8" s="44">
        <f ca="1">SUM(H6:H7)</f>
        <v>0</v>
      </c>
      <c r="I8" s="44">
        <f ca="1">SUM(I6:I7)</f>
        <v>0</v>
      </c>
      <c r="J8" s="45">
        <f ca="1">SUM(J6:J7)</f>
        <v>0</v>
      </c>
      <c r="K8" s="46">
        <f t="shared" ref="K8:K21" ca="1" si="0">SUM(F8:J8)</f>
        <v>0</v>
      </c>
      <c r="L8" s="171" t="s">
        <v>52</v>
      </c>
      <c r="M8" s="172"/>
      <c r="N8" s="172"/>
      <c r="O8" s="173"/>
      <c r="P8" s="47"/>
      <c r="Q8" s="174" t="s">
        <v>52</v>
      </c>
      <c r="R8" s="175"/>
      <c r="T8" t="s">
        <v>162</v>
      </c>
      <c r="U8" s="247">
        <f>T35</f>
        <v>0</v>
      </c>
      <c r="V8" s="247"/>
    </row>
    <row r="9" spans="1:27" ht="21.95" customHeight="1" x14ac:dyDescent="0.15">
      <c r="A9" s="1" t="s">
        <v>163</v>
      </c>
      <c r="B9" s="30" t="s">
        <v>164</v>
      </c>
      <c r="C9" s="207"/>
      <c r="D9" s="248" t="s">
        <v>165</v>
      </c>
      <c r="E9" s="31" t="s">
        <v>166</v>
      </c>
      <c r="F9" s="32">
        <f ca="1">INDIRECT(F$1&amp;"!"&amp;$B9&amp;F$2)</f>
        <v>0</v>
      </c>
      <c r="G9" s="32">
        <f ca="1">INDIRECT(G$1&amp;"!"&amp;$B9&amp;G$2)</f>
        <v>0</v>
      </c>
      <c r="H9" s="32">
        <f ca="1">INDIRECT(H$1&amp;"!"&amp;$B9&amp;H$2)</f>
        <v>0</v>
      </c>
      <c r="I9" s="32">
        <f ca="1">INDIRECT(I$1&amp;"!"&amp;$B9&amp;I$2)</f>
        <v>0</v>
      </c>
      <c r="J9" s="33">
        <f ca="1">INDIRECT(J$1&amp;"!"&amp;$B9&amp;J$2)</f>
        <v>0</v>
      </c>
      <c r="K9" s="34">
        <f t="shared" ca="1" si="0"/>
        <v>0</v>
      </c>
      <c r="L9" s="249" t="s">
        <v>52</v>
      </c>
      <c r="M9" s="250"/>
      <c r="N9" s="250"/>
      <c r="O9" s="251"/>
      <c r="P9" s="48"/>
      <c r="Q9" s="252" t="s">
        <v>52</v>
      </c>
      <c r="R9" s="253"/>
      <c r="T9" t="s">
        <v>167</v>
      </c>
      <c r="U9" s="247">
        <f>T36+T37</f>
        <v>58525000</v>
      </c>
      <c r="V9" s="247"/>
    </row>
    <row r="10" spans="1:27" ht="21.95" customHeight="1" thickBot="1" x14ac:dyDescent="0.2">
      <c r="A10" s="1" t="s">
        <v>168</v>
      </c>
      <c r="B10" s="30"/>
      <c r="C10" s="207"/>
      <c r="D10" s="248"/>
      <c r="E10" s="37" t="s">
        <v>169</v>
      </c>
      <c r="F10" s="38">
        <f ca="1">INT(F9*$P$10)</f>
        <v>0</v>
      </c>
      <c r="G10" s="38">
        <f ca="1">INT(G9*$P$10)</f>
        <v>0</v>
      </c>
      <c r="H10" s="38">
        <f ca="1">INT(H9*$P$10)</f>
        <v>0</v>
      </c>
      <c r="I10" s="38">
        <f ca="1">INT(I9*$P$10)</f>
        <v>0</v>
      </c>
      <c r="J10" s="39">
        <f ca="1">INT(J9*$P$10)</f>
        <v>0</v>
      </c>
      <c r="K10" s="40">
        <f t="shared" ca="1" si="0"/>
        <v>0</v>
      </c>
      <c r="L10" s="254" t="s">
        <v>170</v>
      </c>
      <c r="M10" s="255"/>
      <c r="N10" s="255"/>
      <c r="O10" s="255"/>
      <c r="P10" s="49">
        <v>0.122</v>
      </c>
      <c r="Q10" s="256" t="s">
        <v>266</v>
      </c>
      <c r="R10" s="257"/>
    </row>
    <row r="11" spans="1:27" ht="21.95" customHeight="1" thickBot="1" x14ac:dyDescent="0.2">
      <c r="A11" s="1" t="s">
        <v>171</v>
      </c>
      <c r="B11" s="42"/>
      <c r="C11" s="207"/>
      <c r="D11" s="248"/>
      <c r="E11" s="50" t="s">
        <v>161</v>
      </c>
      <c r="F11" s="51">
        <f ca="1">SUM(F9:F10)</f>
        <v>0</v>
      </c>
      <c r="G11" s="51">
        <f ca="1">SUM(G9:G10)</f>
        <v>0</v>
      </c>
      <c r="H11" s="51">
        <f ca="1">SUM(H9:H10)</f>
        <v>0</v>
      </c>
      <c r="I11" s="51">
        <f ca="1">SUM(I9:I10)</f>
        <v>0</v>
      </c>
      <c r="J11" s="52">
        <f ca="1">SUM(J9:J10)</f>
        <v>0</v>
      </c>
      <c r="K11" s="53">
        <f t="shared" ca="1" si="0"/>
        <v>0</v>
      </c>
      <c r="L11" s="258" t="s">
        <v>52</v>
      </c>
      <c r="M11" s="259"/>
      <c r="N11" s="259"/>
      <c r="O11" s="259"/>
      <c r="P11" s="54"/>
      <c r="Q11" s="222" t="s">
        <v>52</v>
      </c>
      <c r="R11" s="223"/>
      <c r="T11" s="55" t="s">
        <v>172</v>
      </c>
      <c r="U11" s="56"/>
      <c r="V11" s="57"/>
      <c r="W11" s="58"/>
    </row>
    <row r="12" spans="1:27" ht="21.95" customHeight="1" thickBot="1" x14ac:dyDescent="0.2">
      <c r="A12" s="1" t="s">
        <v>173</v>
      </c>
      <c r="B12" s="30" t="s">
        <v>174</v>
      </c>
      <c r="C12" s="207"/>
      <c r="D12" s="207" t="s">
        <v>175</v>
      </c>
      <c r="E12" s="59" t="s">
        <v>176</v>
      </c>
      <c r="F12" s="60">
        <f ca="1">INDIRECT(F$1&amp;"!"&amp;$B12&amp;F$2)</f>
        <v>0</v>
      </c>
      <c r="G12" s="60">
        <f ca="1">INDIRECT(G$1&amp;"!"&amp;$B12&amp;G$2)</f>
        <v>0</v>
      </c>
      <c r="H12" s="60">
        <f ca="1">INDIRECT(H$1&amp;"!"&amp;$B12&amp;H$2)</f>
        <v>0</v>
      </c>
      <c r="I12" s="60">
        <f ca="1">INDIRECT(I$1&amp;"!"&amp;$B12&amp;I$2)</f>
        <v>0</v>
      </c>
      <c r="J12" s="61">
        <f ca="1">INDIRECT(J$1&amp;"!"&amp;$B12&amp;J$2)</f>
        <v>0</v>
      </c>
      <c r="K12" s="62">
        <f t="shared" ca="1" si="0"/>
        <v>0</v>
      </c>
      <c r="L12" s="232" t="s">
        <v>52</v>
      </c>
      <c r="M12" s="233"/>
      <c r="N12" s="233"/>
      <c r="O12" s="233"/>
      <c r="P12" s="63"/>
      <c r="Q12" s="234" t="s">
        <v>52</v>
      </c>
      <c r="R12" s="193"/>
    </row>
    <row r="13" spans="1:27" ht="21.95" customHeight="1" thickBot="1" x14ac:dyDescent="0.35">
      <c r="A13" s="1" t="s">
        <v>177</v>
      </c>
      <c r="B13" s="64"/>
      <c r="C13" s="207"/>
      <c r="D13" s="207"/>
      <c r="E13" s="65" t="s">
        <v>178</v>
      </c>
      <c r="F13" s="66"/>
      <c r="G13" s="66"/>
      <c r="H13" s="66"/>
      <c r="I13" s="66"/>
      <c r="J13" s="67"/>
      <c r="K13" s="68">
        <f t="shared" si="0"/>
        <v>0</v>
      </c>
      <c r="L13" s="214"/>
      <c r="M13" s="215"/>
      <c r="N13" s="215"/>
      <c r="O13" s="215"/>
      <c r="P13" s="69"/>
      <c r="Q13" s="203"/>
      <c r="R13" s="196"/>
      <c r="T13" s="224" t="s">
        <v>179</v>
      </c>
      <c r="U13" s="235"/>
      <c r="V13" s="235"/>
      <c r="W13" s="235"/>
      <c r="X13" s="226"/>
      <c r="Z13" s="224" t="s">
        <v>180</v>
      </c>
      <c r="AA13" s="226"/>
    </row>
    <row r="14" spans="1:27" ht="21.95" customHeight="1" thickTop="1" thickBot="1" x14ac:dyDescent="0.35">
      <c r="A14" s="1" t="s">
        <v>177</v>
      </c>
      <c r="B14" s="64" t="s">
        <v>181</v>
      </c>
      <c r="C14" s="207"/>
      <c r="D14" s="207"/>
      <c r="E14" s="70" t="s">
        <v>182</v>
      </c>
      <c r="F14" s="71">
        <f ca="1">F11*$P$14</f>
        <v>0</v>
      </c>
      <c r="G14" s="71">
        <f ca="1">G11*$P$14</f>
        <v>0</v>
      </c>
      <c r="H14" s="71">
        <f ca="1">H11*$P$14</f>
        <v>0</v>
      </c>
      <c r="I14" s="71">
        <f ca="1">I11*$P$14</f>
        <v>0</v>
      </c>
      <c r="J14" s="72">
        <f ca="1">J11*$P$14</f>
        <v>0</v>
      </c>
      <c r="K14" s="68">
        <f t="shared" ca="1" si="0"/>
        <v>0</v>
      </c>
      <c r="L14" s="214" t="s">
        <v>183</v>
      </c>
      <c r="M14" s="215"/>
      <c r="N14" s="215"/>
      <c r="O14" s="215"/>
      <c r="P14" s="73">
        <v>3.6999999999999998E-2</v>
      </c>
      <c r="Q14" s="203" t="s">
        <v>184</v>
      </c>
      <c r="R14" s="196"/>
      <c r="T14" s="227" t="s">
        <v>185</v>
      </c>
      <c r="U14" s="228"/>
      <c r="V14" s="228"/>
      <c r="W14" s="229">
        <f ca="1">K6+K9+K37</f>
        <v>0</v>
      </c>
      <c r="X14" s="230"/>
      <c r="Y14" s="3"/>
      <c r="Z14" s="74">
        <v>100</v>
      </c>
      <c r="AA14" s="75" t="s">
        <v>186</v>
      </c>
    </row>
    <row r="15" spans="1:27" ht="21.95" customHeight="1" thickBot="1" x14ac:dyDescent="0.35">
      <c r="A15" s="1" t="s">
        <v>187</v>
      </c>
      <c r="B15" s="1"/>
      <c r="C15" s="207"/>
      <c r="D15" s="207"/>
      <c r="E15" s="70" t="s">
        <v>188</v>
      </c>
      <c r="F15" s="71">
        <f ca="1">F11*$P$15</f>
        <v>0</v>
      </c>
      <c r="G15" s="71">
        <f ca="1">G11*$P$15</f>
        <v>0</v>
      </c>
      <c r="H15" s="71">
        <f ca="1">H11*$P$15</f>
        <v>0</v>
      </c>
      <c r="I15" s="71">
        <f ca="1">I11*$P$15</f>
        <v>0</v>
      </c>
      <c r="J15" s="72">
        <f ca="1">J11*$P$15</f>
        <v>0</v>
      </c>
      <c r="K15" s="68">
        <f t="shared" ca="1" si="0"/>
        <v>0</v>
      </c>
      <c r="L15" s="214" t="s">
        <v>183</v>
      </c>
      <c r="M15" s="215"/>
      <c r="N15" s="215"/>
      <c r="O15" s="215"/>
      <c r="P15" s="69">
        <v>1.01E-2</v>
      </c>
      <c r="Q15" s="195" t="s">
        <v>189</v>
      </c>
      <c r="R15" s="231"/>
    </row>
    <row r="16" spans="1:27" ht="21.95" customHeight="1" thickBot="1" x14ac:dyDescent="0.35">
      <c r="A16" s="1" t="s">
        <v>190</v>
      </c>
      <c r="B16" s="1"/>
      <c r="C16" s="207"/>
      <c r="D16" s="207"/>
      <c r="E16" s="70" t="s">
        <v>191</v>
      </c>
      <c r="F16" s="71">
        <f ca="1">F9*$P$16</f>
        <v>0</v>
      </c>
      <c r="G16" s="71">
        <f ca="1">G9*$P$16</f>
        <v>0</v>
      </c>
      <c r="H16" s="71">
        <f ca="1">H9*$P$16</f>
        <v>0</v>
      </c>
      <c r="I16" s="71">
        <f ca="1">I9*$P$16</f>
        <v>0</v>
      </c>
      <c r="J16" s="72">
        <f ca="1">J9*$P$16</f>
        <v>0</v>
      </c>
      <c r="K16" s="68">
        <f t="shared" ca="1" si="0"/>
        <v>0</v>
      </c>
      <c r="L16" s="236" t="s">
        <v>170</v>
      </c>
      <c r="M16" s="237"/>
      <c r="N16" s="237"/>
      <c r="O16" s="237"/>
      <c r="P16" s="76">
        <v>3.5450000000000002E-2</v>
      </c>
      <c r="Q16" s="195" t="s">
        <v>192</v>
      </c>
      <c r="R16" s="196"/>
      <c r="T16" s="216" t="s">
        <v>193</v>
      </c>
      <c r="U16" s="217"/>
      <c r="V16" s="217"/>
      <c r="W16" s="217"/>
      <c r="X16" s="218"/>
    </row>
    <row r="17" spans="1:25" ht="21.95" customHeight="1" thickTop="1" x14ac:dyDescent="0.3">
      <c r="A17" s="1" t="s">
        <v>194</v>
      </c>
      <c r="B17" s="1"/>
      <c r="C17" s="207"/>
      <c r="D17" s="207"/>
      <c r="E17" s="70" t="s">
        <v>195</v>
      </c>
      <c r="F17" s="71">
        <f ca="1">F9*$P$17</f>
        <v>0</v>
      </c>
      <c r="G17" s="71">
        <f ca="1">G9*$P$17</f>
        <v>0</v>
      </c>
      <c r="H17" s="71">
        <f ca="1">H9*$P$17</f>
        <v>0</v>
      </c>
      <c r="I17" s="71">
        <f ca="1">I9*$P$17</f>
        <v>0</v>
      </c>
      <c r="J17" s="72">
        <f ca="1">J9*$P$17</f>
        <v>0</v>
      </c>
      <c r="K17" s="68">
        <f t="shared" ca="1" si="0"/>
        <v>0</v>
      </c>
      <c r="L17" s="214" t="s">
        <v>170</v>
      </c>
      <c r="M17" s="215"/>
      <c r="N17" s="215"/>
      <c r="O17" s="215"/>
      <c r="P17" s="73">
        <v>4.4999999999999998E-2</v>
      </c>
      <c r="Q17" s="195" t="s">
        <v>192</v>
      </c>
      <c r="R17" s="196"/>
      <c r="T17" s="79" t="s">
        <v>140</v>
      </c>
      <c r="U17" s="80">
        <f ca="1">(K6+K9+(K37/1.1))*2.93%</f>
        <v>0</v>
      </c>
      <c r="V17" s="208" t="s">
        <v>196</v>
      </c>
      <c r="W17" s="208"/>
      <c r="X17" s="209"/>
      <c r="Y17" s="81" t="str">
        <f ca="1">IF(W14&gt;=500000000, "5억기준으로 요율변경","")</f>
        <v/>
      </c>
    </row>
    <row r="18" spans="1:25" ht="21.95" customHeight="1" thickBot="1" x14ac:dyDescent="0.35">
      <c r="A18" s="1" t="s">
        <v>194</v>
      </c>
      <c r="B18" s="1"/>
      <c r="C18" s="207"/>
      <c r="D18" s="207"/>
      <c r="E18" s="65" t="s">
        <v>197</v>
      </c>
      <c r="F18" s="71">
        <f ca="1">F16*$P$18</f>
        <v>0</v>
      </c>
      <c r="G18" s="71">
        <f ca="1">G16*$P$18</f>
        <v>0</v>
      </c>
      <c r="H18" s="71">
        <f ca="1">H16*$P$18</f>
        <v>0</v>
      </c>
      <c r="I18" s="71">
        <f ca="1">I16*$P$18</f>
        <v>0</v>
      </c>
      <c r="J18" s="72">
        <f ca="1">J16*$P$18</f>
        <v>0</v>
      </c>
      <c r="K18" s="68">
        <f t="shared" ca="1" si="0"/>
        <v>0</v>
      </c>
      <c r="L18" s="210" t="s">
        <v>198</v>
      </c>
      <c r="M18" s="211"/>
      <c r="N18" s="211"/>
      <c r="O18" s="211"/>
      <c r="P18" s="82">
        <v>0.12809999999999999</v>
      </c>
      <c r="Q18" s="195" t="s">
        <v>192</v>
      </c>
      <c r="R18" s="196"/>
      <c r="T18" s="83" t="s">
        <v>199</v>
      </c>
      <c r="U18" s="84">
        <f ca="1">(K6+K9)*2.93%*1.2</f>
        <v>0</v>
      </c>
      <c r="V18" s="212" t="s">
        <v>200</v>
      </c>
      <c r="W18" s="212"/>
      <c r="X18" s="213"/>
      <c r="Y18" s="81" t="str">
        <f ca="1">IF(W14&gt;=500000000, "5억기준으로 요율변경","")</f>
        <v/>
      </c>
    </row>
    <row r="19" spans="1:25" ht="21.95" customHeight="1" thickBot="1" x14ac:dyDescent="0.35">
      <c r="A19" s="1" t="s">
        <v>201</v>
      </c>
      <c r="B19" s="1"/>
      <c r="C19" s="207"/>
      <c r="D19" s="207"/>
      <c r="E19" s="70" t="s">
        <v>202</v>
      </c>
      <c r="F19" s="71">
        <f ca="1">F9*2.3%</f>
        <v>0</v>
      </c>
      <c r="G19" s="71">
        <f ca="1">G9*2.3%</f>
        <v>0</v>
      </c>
      <c r="H19" s="71">
        <f ca="1">H9*2.3%</f>
        <v>0</v>
      </c>
      <c r="I19" s="71">
        <f ca="1">I9*2.3%</f>
        <v>0</v>
      </c>
      <c r="J19" s="72">
        <f ca="1">J9*2.3%</f>
        <v>0</v>
      </c>
      <c r="K19" s="68">
        <f t="shared" ca="1" si="0"/>
        <v>0</v>
      </c>
      <c r="L19" s="214" t="str">
        <f ca="1">IF(K33+K37&gt;=100000000, "직접노무비의","")</f>
        <v/>
      </c>
      <c r="M19" s="215"/>
      <c r="N19" s="215"/>
      <c r="O19" s="215"/>
      <c r="P19" s="73" t="str">
        <f ca="1">IF(K33+K37&gt;=100000000, "2.3%","")</f>
        <v/>
      </c>
      <c r="Q19" s="195" t="s">
        <v>203</v>
      </c>
      <c r="R19" s="196"/>
      <c r="S19" s="58" t="str">
        <f ca="1">IF(K33+K37&lt;=100000000, "☜삭제","")</f>
        <v>☜삭제</v>
      </c>
      <c r="T19" s="216" t="s">
        <v>204</v>
      </c>
      <c r="U19" s="217"/>
      <c r="V19" s="217"/>
      <c r="W19" s="217"/>
      <c r="X19" s="218"/>
    </row>
    <row r="20" spans="1:25" ht="21.95" customHeight="1" thickTop="1" x14ac:dyDescent="0.3">
      <c r="A20" s="1" t="s">
        <v>205</v>
      </c>
      <c r="B20" s="1"/>
      <c r="C20" s="207"/>
      <c r="D20" s="207"/>
      <c r="E20" s="70" t="s">
        <v>206</v>
      </c>
      <c r="F20" s="71">
        <f ca="1">(F6+F9+(F37/1.1))*2.93%</f>
        <v>0</v>
      </c>
      <c r="G20" s="71">
        <f ca="1">(G6+G9+(G37/1.1))*2.93%</f>
        <v>0</v>
      </c>
      <c r="H20" s="71">
        <f ca="1">(H6+H9+(H37/1.1))*2.93%</f>
        <v>0</v>
      </c>
      <c r="I20" s="71">
        <f ca="1">(I6+I9+(I37/1.1))*2.93%</f>
        <v>0</v>
      </c>
      <c r="J20" s="72">
        <f ca="1">(J6+J9+(J37/1.1))*2.93%</f>
        <v>0</v>
      </c>
      <c r="K20" s="68">
        <f t="shared" ca="1" si="0"/>
        <v>0</v>
      </c>
      <c r="L20" s="214" t="str">
        <f ca="1">IF(K33+K37&gt;=20000000,IF(U17&gt;U18,V18,V17),"")</f>
        <v/>
      </c>
      <c r="M20" s="215"/>
      <c r="N20" s="215"/>
      <c r="O20" s="215"/>
      <c r="P20" s="238"/>
      <c r="Q20" s="195" t="s">
        <v>207</v>
      </c>
      <c r="R20" s="196"/>
      <c r="S20" s="58" t="str">
        <f ca="1">IF(K33+K37&lt;=20000000,"☜삭제","")</f>
        <v>☜삭제</v>
      </c>
      <c r="T20" s="79" t="s">
        <v>140</v>
      </c>
      <c r="U20" s="80">
        <f ca="1">((K6+K9+(K37/1.1))*1.86%)+5349000</f>
        <v>5349000</v>
      </c>
      <c r="V20" s="208" t="s">
        <v>208</v>
      </c>
      <c r="W20" s="208"/>
      <c r="X20" s="209"/>
      <c r="Y20" s="85"/>
    </row>
    <row r="21" spans="1:25" ht="21.95" customHeight="1" thickBot="1" x14ac:dyDescent="0.35">
      <c r="A21" s="1" t="s">
        <v>209</v>
      </c>
      <c r="B21" s="1"/>
      <c r="C21" s="207"/>
      <c r="D21" s="207"/>
      <c r="E21" s="70" t="s">
        <v>210</v>
      </c>
      <c r="F21" s="71">
        <f ca="1">(F8+F11)*$P$21</f>
        <v>0</v>
      </c>
      <c r="G21" s="71">
        <f ca="1">(G8+G11)*$P$21</f>
        <v>0</v>
      </c>
      <c r="H21" s="71">
        <f ca="1">(H8+H11)*$P$21</f>
        <v>0</v>
      </c>
      <c r="I21" s="71">
        <f ca="1">(I8+I11)*$P$21</f>
        <v>0</v>
      </c>
      <c r="J21" s="72">
        <f ca="1">(J8+J11)*$P$21</f>
        <v>0</v>
      </c>
      <c r="K21" s="68">
        <f t="shared" ca="1" si="0"/>
        <v>0</v>
      </c>
      <c r="L21" s="214" t="s">
        <v>211</v>
      </c>
      <c r="M21" s="215"/>
      <c r="N21" s="215"/>
      <c r="O21" s="215"/>
      <c r="P21" s="86">
        <v>5.8000000000000003E-2</v>
      </c>
      <c r="Q21" s="239" t="s">
        <v>266</v>
      </c>
      <c r="R21" s="240"/>
      <c r="T21" s="83" t="s">
        <v>199</v>
      </c>
      <c r="U21" s="84">
        <f ca="1">((K6+K9)*1.86%+5349000)*1.2</f>
        <v>6418800</v>
      </c>
      <c r="V21" s="212" t="s">
        <v>212</v>
      </c>
      <c r="W21" s="212"/>
      <c r="X21" s="213"/>
      <c r="Y21" s="85"/>
    </row>
    <row r="22" spans="1:25" ht="21.95" customHeight="1" x14ac:dyDescent="0.3">
      <c r="A22" s="1" t="s">
        <v>213</v>
      </c>
      <c r="B22" s="1"/>
      <c r="C22" s="207"/>
      <c r="D22" s="207"/>
      <c r="E22" s="70" t="s">
        <v>214</v>
      </c>
      <c r="F22" s="71"/>
      <c r="G22" s="71"/>
      <c r="H22" s="71"/>
      <c r="I22" s="71"/>
      <c r="J22" s="72"/>
      <c r="K22" s="68"/>
      <c r="L22" s="200"/>
      <c r="M22" s="201"/>
      <c r="N22" s="201"/>
      <c r="O22" s="202"/>
      <c r="P22" s="87"/>
      <c r="Q22" s="203" t="s">
        <v>52</v>
      </c>
      <c r="R22" s="196"/>
    </row>
    <row r="23" spans="1:25" ht="21.95" customHeight="1" x14ac:dyDescent="0.3">
      <c r="A23" s="1" t="s">
        <v>215</v>
      </c>
      <c r="B23" s="1"/>
      <c r="C23" s="207"/>
      <c r="D23" s="207"/>
      <c r="E23" s="70" t="s">
        <v>216</v>
      </c>
      <c r="F23" s="71"/>
      <c r="G23" s="71"/>
      <c r="H23" s="71"/>
      <c r="I23" s="71"/>
      <c r="J23" s="72"/>
      <c r="K23" s="68"/>
      <c r="L23" s="200"/>
      <c r="M23" s="201"/>
      <c r="N23" s="201"/>
      <c r="O23" s="202"/>
      <c r="P23" s="87"/>
      <c r="Q23" s="203" t="s">
        <v>52</v>
      </c>
      <c r="R23" s="196"/>
      <c r="T23" t="s">
        <v>217</v>
      </c>
    </row>
    <row r="24" spans="1:25" ht="21.95" customHeight="1" thickBot="1" x14ac:dyDescent="0.35">
      <c r="A24" s="1" t="s">
        <v>218</v>
      </c>
      <c r="B24" s="1"/>
      <c r="C24" s="207"/>
      <c r="D24" s="207"/>
      <c r="E24" s="88" t="s">
        <v>219</v>
      </c>
      <c r="F24" s="89"/>
      <c r="G24" s="89"/>
      <c r="H24" s="89"/>
      <c r="I24" s="89"/>
      <c r="J24" s="90"/>
      <c r="K24" s="91"/>
      <c r="L24" s="204"/>
      <c r="M24" s="205"/>
      <c r="N24" s="205"/>
      <c r="O24" s="206"/>
      <c r="P24" s="92"/>
      <c r="Q24" s="189" t="s">
        <v>52</v>
      </c>
      <c r="R24" s="190"/>
      <c r="T24" t="s">
        <v>220</v>
      </c>
      <c r="U24" s="3">
        <f ca="1">INT((K26+K27+K28+K30)+(K36+K37)/1.1)</f>
        <v>53204545</v>
      </c>
    </row>
    <row r="25" spans="1:25" ht="21.95" customHeight="1" thickBot="1" x14ac:dyDescent="0.35">
      <c r="A25" s="1" t="s">
        <v>221</v>
      </c>
      <c r="B25" s="1"/>
      <c r="C25" s="207"/>
      <c r="D25" s="207"/>
      <c r="E25" s="50" t="s">
        <v>161</v>
      </c>
      <c r="F25" s="51">
        <f ca="1">SUM(F12:F24)</f>
        <v>0</v>
      </c>
      <c r="G25" s="51">
        <f ca="1">SUM(G12:G24)</f>
        <v>0</v>
      </c>
      <c r="H25" s="51">
        <f ca="1">SUM(H12:H24)</f>
        <v>0</v>
      </c>
      <c r="I25" s="51">
        <f ca="1">SUM(I12:I24)</f>
        <v>0</v>
      </c>
      <c r="J25" s="52">
        <f ca="1">SUM(J12:J24)</f>
        <v>0</v>
      </c>
      <c r="K25" s="53">
        <f t="shared" ref="K25:K32" ca="1" si="1">SUM(F25:J25)</f>
        <v>0</v>
      </c>
      <c r="L25" s="219" t="s">
        <v>52</v>
      </c>
      <c r="M25" s="220"/>
      <c r="N25" s="220"/>
      <c r="O25" s="221"/>
      <c r="P25" s="54"/>
      <c r="Q25" s="222" t="s">
        <v>52</v>
      </c>
      <c r="R25" s="223"/>
      <c r="T25" s="224" t="s">
        <v>222</v>
      </c>
      <c r="U25" s="225"/>
      <c r="V25" s="77" t="s">
        <v>223</v>
      </c>
      <c r="W25" s="78" t="s">
        <v>224</v>
      </c>
      <c r="X25" s="78" t="s">
        <v>225</v>
      </c>
    </row>
    <row r="26" spans="1:25" ht="21.95" customHeight="1" thickTop="1" x14ac:dyDescent="0.3">
      <c r="A26" s="1" t="s">
        <v>226</v>
      </c>
      <c r="B26" s="1"/>
      <c r="C26" s="197" t="s">
        <v>227</v>
      </c>
      <c r="D26" s="198"/>
      <c r="E26" s="199"/>
      <c r="F26" s="51">
        <f ca="1">TRUNC(F8+F11+F25, 0)</f>
        <v>0</v>
      </c>
      <c r="G26" s="51">
        <f ca="1">TRUNC(G8+G11+G25, 0)</f>
        <v>0</v>
      </c>
      <c r="H26" s="51">
        <f ca="1">TRUNC(H8+H11+H25, 0)</f>
        <v>0</v>
      </c>
      <c r="I26" s="51">
        <f ca="1">TRUNC(I8+I11+I25, 0)</f>
        <v>0</v>
      </c>
      <c r="J26" s="52">
        <f ca="1">TRUNC(J8+J11+J25, 0)</f>
        <v>0</v>
      </c>
      <c r="K26" s="53">
        <f t="shared" ca="1" si="1"/>
        <v>0</v>
      </c>
      <c r="L26" s="163" t="s">
        <v>52</v>
      </c>
      <c r="M26" s="164"/>
      <c r="N26" s="164"/>
      <c r="O26" s="165"/>
      <c r="P26" s="93"/>
      <c r="Q26" s="140" t="s">
        <v>52</v>
      </c>
      <c r="R26" s="141"/>
      <c r="T26" s="94" t="s">
        <v>228</v>
      </c>
      <c r="U26" s="95"/>
      <c r="V26" s="96">
        <v>3.64E-3</v>
      </c>
      <c r="W26" s="97"/>
      <c r="X26" s="98">
        <f t="shared" ref="X26:X31" ca="1" si="2">$U$24*V26*(1+(W26/1095))</f>
        <v>193664.54380000001</v>
      </c>
    </row>
    <row r="27" spans="1:25" ht="21.95" customHeight="1" x14ac:dyDescent="0.3">
      <c r="A27" s="1" t="s">
        <v>229</v>
      </c>
      <c r="B27" s="1"/>
      <c r="C27" s="191" t="s">
        <v>230</v>
      </c>
      <c r="D27" s="143"/>
      <c r="E27" s="144"/>
      <c r="F27" s="99">
        <f ca="1">INT(F26*$P$27)</f>
        <v>0</v>
      </c>
      <c r="G27" s="99">
        <f ca="1">INT(G26*$P$27)</f>
        <v>0</v>
      </c>
      <c r="H27" s="99">
        <f ca="1">INT(H26*$P$27)</f>
        <v>0</v>
      </c>
      <c r="I27" s="99">
        <f ca="1">INT(I26*$P$27)</f>
        <v>0</v>
      </c>
      <c r="J27" s="100">
        <f ca="1">INT(J26*$P$27)</f>
        <v>0</v>
      </c>
      <c r="K27" s="62">
        <f t="shared" ca="1" si="1"/>
        <v>0</v>
      </c>
      <c r="L27" s="145" t="s">
        <v>231</v>
      </c>
      <c r="M27" s="146"/>
      <c r="N27" s="146"/>
      <c r="O27" s="147"/>
      <c r="P27" s="86">
        <v>0.06</v>
      </c>
      <c r="Q27" s="192" t="s">
        <v>232</v>
      </c>
      <c r="R27" s="193"/>
      <c r="S27" s="58" t="str">
        <f ca="1">IF(K31&gt;=500000000,"☜변경","")</f>
        <v/>
      </c>
      <c r="T27" s="101" t="s">
        <v>233</v>
      </c>
      <c r="U27" s="102"/>
      <c r="V27" s="103">
        <v>3.5100000000000001E-3</v>
      </c>
      <c r="W27" s="104"/>
      <c r="X27" s="98">
        <f t="shared" ca="1" si="2"/>
        <v>186747.95295000001</v>
      </c>
    </row>
    <row r="28" spans="1:25" ht="21.95" customHeight="1" x14ac:dyDescent="0.3">
      <c r="A28" s="1" t="s">
        <v>234</v>
      </c>
      <c r="B28" s="1"/>
      <c r="C28" s="194" t="s">
        <v>235</v>
      </c>
      <c r="D28" s="151"/>
      <c r="E28" s="152"/>
      <c r="F28" s="71">
        <f ca="1">INT((F11+F25+F27)*$P$28)</f>
        <v>0</v>
      </c>
      <c r="G28" s="71">
        <f ca="1">INT((G11+G25+G27)*$P$28)</f>
        <v>0</v>
      </c>
      <c r="H28" s="71">
        <f ca="1">INT((H11+H25+H27)*$P$28)</f>
        <v>0</v>
      </c>
      <c r="I28" s="71">
        <f ca="1">INT((I11+I25+I27)*$P$28)</f>
        <v>0</v>
      </c>
      <c r="J28" s="72">
        <f ca="1">INT((J11+J25+J27)*$P$28)</f>
        <v>0</v>
      </c>
      <c r="K28" s="68">
        <f t="shared" ca="1" si="1"/>
        <v>0</v>
      </c>
      <c r="L28" s="153" t="s">
        <v>236</v>
      </c>
      <c r="M28" s="154"/>
      <c r="N28" s="154"/>
      <c r="O28" s="155"/>
      <c r="P28" s="73">
        <v>0.15</v>
      </c>
      <c r="Q28" s="195" t="s">
        <v>237</v>
      </c>
      <c r="R28" s="196"/>
      <c r="T28" s="105" t="s">
        <v>238</v>
      </c>
      <c r="U28" s="106"/>
      <c r="V28" s="107">
        <v>3.4499999999999999E-3</v>
      </c>
      <c r="W28" s="104"/>
      <c r="X28" s="98">
        <f t="shared" ca="1" si="2"/>
        <v>183555.68025</v>
      </c>
    </row>
    <row r="29" spans="1:25" ht="20.45" customHeight="1" x14ac:dyDescent="0.3">
      <c r="A29" s="1"/>
      <c r="B29" s="1"/>
      <c r="C29" s="176" t="s">
        <v>239</v>
      </c>
      <c r="D29" s="177"/>
      <c r="E29" s="178"/>
      <c r="F29" s="108"/>
      <c r="G29" s="108"/>
      <c r="H29" s="108"/>
      <c r="I29" s="108"/>
      <c r="J29" s="108"/>
      <c r="K29" s="68">
        <f t="shared" si="1"/>
        <v>0</v>
      </c>
      <c r="L29" s="179" t="s">
        <v>240</v>
      </c>
      <c r="M29" s="180"/>
      <c r="N29" s="180"/>
      <c r="O29" s="181"/>
      <c r="P29" s="109">
        <f ca="1">IF(U24&lt;=500000000,V26,IF(AND(U24&gt;=500000000,U24&lt;1000000000),V27,IF(AND(U24&gt;=1000000000,U24&lt;2000000000),V28,IF(AND(U24&gt;=2000000000,U24&lt;3000000000),V29,IF(AND(U24&gt;=3000000000,U24&lt;4000000000),V30,IF(U24&gt;=4000000000,V31))))))</f>
        <v>3.64E-3</v>
      </c>
      <c r="Q29" s="182" t="s">
        <v>241</v>
      </c>
      <c r="R29" s="183"/>
      <c r="T29" s="110" t="s">
        <v>242</v>
      </c>
      <c r="U29" s="111"/>
      <c r="V29" s="107">
        <v>3.3800000000000002E-3</v>
      </c>
      <c r="W29" s="104"/>
      <c r="X29" s="98">
        <f t="shared" ca="1" si="2"/>
        <v>179831.3621</v>
      </c>
    </row>
    <row r="30" spans="1:25" ht="21.95" customHeight="1" x14ac:dyDescent="0.3">
      <c r="A30" s="1"/>
      <c r="B30" s="1"/>
      <c r="C30" s="127" t="s">
        <v>243</v>
      </c>
      <c r="D30" s="184"/>
      <c r="E30" s="185"/>
      <c r="F30" s="112"/>
      <c r="G30" s="112"/>
      <c r="H30" s="112"/>
      <c r="I30" s="112"/>
      <c r="J30" s="113"/>
      <c r="K30" s="91">
        <f t="shared" si="1"/>
        <v>0</v>
      </c>
      <c r="L30" s="186"/>
      <c r="M30" s="187"/>
      <c r="N30" s="187"/>
      <c r="O30" s="187"/>
      <c r="P30" s="188"/>
      <c r="Q30" s="189" t="s">
        <v>52</v>
      </c>
      <c r="R30" s="190"/>
      <c r="T30" s="110" t="s">
        <v>244</v>
      </c>
      <c r="U30" s="114"/>
      <c r="V30" s="107">
        <v>3.2499999999999999E-3</v>
      </c>
      <c r="W30" s="104"/>
      <c r="X30" s="98">
        <f t="shared" ca="1" si="2"/>
        <v>172914.77124999999</v>
      </c>
    </row>
    <row r="31" spans="1:25" ht="21.95" customHeight="1" thickBot="1" x14ac:dyDescent="0.35">
      <c r="A31" s="1" t="s">
        <v>245</v>
      </c>
      <c r="B31" s="1"/>
      <c r="C31" s="160" t="s">
        <v>246</v>
      </c>
      <c r="D31" s="161"/>
      <c r="E31" s="162"/>
      <c r="F31" s="51">
        <f ca="1">SUM(F26:F30)</f>
        <v>0</v>
      </c>
      <c r="G31" s="51">
        <f ca="1">SUM(G26:G30)</f>
        <v>0</v>
      </c>
      <c r="H31" s="51">
        <f ca="1">SUM(H26:H30)</f>
        <v>0</v>
      </c>
      <c r="I31" s="51">
        <f ca="1">SUM(I26:I30)</f>
        <v>0</v>
      </c>
      <c r="J31" s="52">
        <f ca="1">SUM(J26:J30)</f>
        <v>0</v>
      </c>
      <c r="K31" s="53">
        <f t="shared" ca="1" si="1"/>
        <v>0</v>
      </c>
      <c r="L31" s="163" t="s">
        <v>52</v>
      </c>
      <c r="M31" s="164"/>
      <c r="N31" s="164"/>
      <c r="O31" s="165"/>
      <c r="P31" s="93"/>
      <c r="Q31" s="140" t="s">
        <v>52</v>
      </c>
      <c r="R31" s="141"/>
      <c r="T31" s="115" t="s">
        <v>247</v>
      </c>
      <c r="U31" s="116"/>
      <c r="V31" s="117">
        <v>3.1900000000000001E-3</v>
      </c>
      <c r="W31" s="118"/>
      <c r="X31" s="119">
        <f t="shared" ca="1" si="2"/>
        <v>169722.49855000002</v>
      </c>
    </row>
    <row r="32" spans="1:25" ht="21.95" customHeight="1" x14ac:dyDescent="0.3">
      <c r="A32" s="1" t="s">
        <v>248</v>
      </c>
      <c r="B32" s="1"/>
      <c r="C32" s="168" t="s">
        <v>249</v>
      </c>
      <c r="D32" s="169"/>
      <c r="E32" s="170"/>
      <c r="F32" s="44">
        <f ca="1">INT(F31*$P$32)</f>
        <v>0</v>
      </c>
      <c r="G32" s="44">
        <f ca="1">INT(G31*$P$32)</f>
        <v>0</v>
      </c>
      <c r="H32" s="44">
        <f ca="1">INT(H31*$P$32)</f>
        <v>0</v>
      </c>
      <c r="I32" s="44">
        <f ca="1">INT(I31*$P$32)</f>
        <v>0</v>
      </c>
      <c r="J32" s="45">
        <f ca="1">INT(J31*$P$32)</f>
        <v>0</v>
      </c>
      <c r="K32" s="46">
        <f t="shared" ca="1" si="1"/>
        <v>0</v>
      </c>
      <c r="L32" s="171" t="s">
        <v>250</v>
      </c>
      <c r="M32" s="172"/>
      <c r="N32" s="172"/>
      <c r="O32" s="173"/>
      <c r="P32" s="120">
        <v>0.1</v>
      </c>
      <c r="Q32" s="174" t="s">
        <v>52</v>
      </c>
      <c r="R32" s="175"/>
    </row>
    <row r="33" spans="1:24" ht="21.95" customHeight="1" thickBot="1" x14ac:dyDescent="0.35">
      <c r="A33" s="1" t="s">
        <v>251</v>
      </c>
      <c r="B33" s="1"/>
      <c r="C33" s="160" t="s">
        <v>252</v>
      </c>
      <c r="D33" s="161"/>
      <c r="E33" s="162"/>
      <c r="F33" s="51">
        <f ca="1">SUM(F31:F32)</f>
        <v>0</v>
      </c>
      <c r="G33" s="51">
        <f ca="1">SUM(G31:G32)</f>
        <v>0</v>
      </c>
      <c r="H33" s="51">
        <f ca="1">SUM(H31:H32)</f>
        <v>0</v>
      </c>
      <c r="I33" s="51">
        <f ca="1">SUM(I31:I32)</f>
        <v>0</v>
      </c>
      <c r="J33" s="51">
        <f ca="1">SUM(J31:J32)</f>
        <v>0</v>
      </c>
      <c r="K33" s="53">
        <f ca="1">ROUNDDOWN(SUM(F33:J33),-3)</f>
        <v>0</v>
      </c>
      <c r="L33" s="163" t="s">
        <v>52</v>
      </c>
      <c r="M33" s="164"/>
      <c r="N33" s="164"/>
      <c r="O33" s="165"/>
      <c r="P33" s="93"/>
      <c r="Q33" s="166" t="s">
        <v>253</v>
      </c>
      <c r="R33" s="141"/>
      <c r="T33" s="167" t="s">
        <v>254</v>
      </c>
      <c r="U33" s="167"/>
    </row>
    <row r="34" spans="1:24" ht="21.95" customHeight="1" thickBot="1" x14ac:dyDescent="0.35">
      <c r="A34" s="1" t="s">
        <v>126</v>
      </c>
      <c r="B34" s="1"/>
      <c r="C34" s="150" t="s">
        <v>255</v>
      </c>
      <c r="D34" s="151"/>
      <c r="E34" s="152"/>
      <c r="F34" s="66">
        <f t="shared" ref="F34:G34" si="3">ROUNDUP(T34,-3)</f>
        <v>0</v>
      </c>
      <c r="G34" s="66">
        <f t="shared" si="3"/>
        <v>0</v>
      </c>
      <c r="H34" s="66"/>
      <c r="I34" s="66"/>
      <c r="J34" s="67"/>
      <c r="K34" s="68">
        <f>SUM(F34:J34)</f>
        <v>0</v>
      </c>
      <c r="L34" s="153" t="s">
        <v>52</v>
      </c>
      <c r="M34" s="154"/>
      <c r="N34" s="154"/>
      <c r="O34" s="155"/>
      <c r="P34" s="87"/>
      <c r="Q34" s="156" t="s">
        <v>256</v>
      </c>
      <c r="R34" s="157"/>
      <c r="T34" s="158"/>
      <c r="U34" s="159"/>
      <c r="V34" s="121" t="s">
        <v>257</v>
      </c>
    </row>
    <row r="35" spans="1:24" ht="21.95" customHeight="1" thickBot="1" x14ac:dyDescent="0.35">
      <c r="A35" s="1" t="s">
        <v>126</v>
      </c>
      <c r="B35" s="1"/>
      <c r="C35" s="142" t="s">
        <v>258</v>
      </c>
      <c r="D35" s="143"/>
      <c r="E35" s="144"/>
      <c r="F35" s="60">
        <f>ROUNDUP(T35,-3)</f>
        <v>0</v>
      </c>
      <c r="G35" s="60">
        <f>ROUNDUP(U35,-3)</f>
        <v>0</v>
      </c>
      <c r="H35" s="60"/>
      <c r="I35" s="60"/>
      <c r="J35" s="61"/>
      <c r="K35" s="62">
        <f>SUM(F35:J35)</f>
        <v>0</v>
      </c>
      <c r="L35" s="145" t="s">
        <v>52</v>
      </c>
      <c r="M35" s="146"/>
      <c r="N35" s="146"/>
      <c r="O35" s="147"/>
      <c r="P35" s="63"/>
      <c r="Q35" s="148" t="s">
        <v>256</v>
      </c>
      <c r="R35" s="149"/>
      <c r="T35" s="135"/>
      <c r="U35" s="136"/>
      <c r="V35" s="121" t="s">
        <v>259</v>
      </c>
    </row>
    <row r="36" spans="1:24" ht="21.95" customHeight="1" thickBot="1" x14ac:dyDescent="0.35">
      <c r="A36" s="1" t="s">
        <v>126</v>
      </c>
      <c r="B36" s="1"/>
      <c r="C36" s="150" t="s">
        <v>260</v>
      </c>
      <c r="D36" s="151"/>
      <c r="E36" s="152"/>
      <c r="F36" s="66">
        <f t="shared" ref="F36:G37" si="4">ROUNDUP(T36,-3)</f>
        <v>58525000</v>
      </c>
      <c r="G36" s="66">
        <f t="shared" si="4"/>
        <v>0</v>
      </c>
      <c r="H36" s="66"/>
      <c r="I36" s="66"/>
      <c r="J36" s="67"/>
      <c r="K36" s="68">
        <f>SUM(F36:J36)</f>
        <v>58525000</v>
      </c>
      <c r="L36" s="153" t="s">
        <v>52</v>
      </c>
      <c r="M36" s="154"/>
      <c r="N36" s="154"/>
      <c r="O36" s="155"/>
      <c r="P36" s="87"/>
      <c r="Q36" s="156" t="s">
        <v>256</v>
      </c>
      <c r="R36" s="157"/>
      <c r="T36" s="158">
        <f>공종별집계표!K7</f>
        <v>58525000</v>
      </c>
      <c r="U36" s="159"/>
      <c r="V36" s="121" t="s">
        <v>261</v>
      </c>
    </row>
    <row r="37" spans="1:24" ht="21.95" customHeight="1" thickBot="1" x14ac:dyDescent="0.35">
      <c r="A37" s="1" t="s">
        <v>126</v>
      </c>
      <c r="B37" s="1"/>
      <c r="C37" s="127" t="s">
        <v>262</v>
      </c>
      <c r="D37" s="128"/>
      <c r="E37" s="129"/>
      <c r="F37" s="112">
        <f t="shared" si="4"/>
        <v>0</v>
      </c>
      <c r="G37" s="112">
        <f t="shared" si="4"/>
        <v>0</v>
      </c>
      <c r="H37" s="112"/>
      <c r="I37" s="112"/>
      <c r="J37" s="122"/>
      <c r="K37" s="91">
        <f>SUM(F37:J37)</f>
        <v>0</v>
      </c>
      <c r="L37" s="130" t="s">
        <v>52</v>
      </c>
      <c r="M37" s="131"/>
      <c r="N37" s="131"/>
      <c r="O37" s="132"/>
      <c r="P37" s="92"/>
      <c r="Q37" s="133" t="s">
        <v>256</v>
      </c>
      <c r="R37" s="134"/>
      <c r="T37" s="135"/>
      <c r="U37" s="136"/>
      <c r="V37" s="121" t="s">
        <v>263</v>
      </c>
    </row>
    <row r="38" spans="1:24" ht="21.95" customHeight="1" x14ac:dyDescent="0.3">
      <c r="A38" s="1" t="s">
        <v>264</v>
      </c>
      <c r="B38" s="1"/>
      <c r="C38" s="137" t="s">
        <v>265</v>
      </c>
      <c r="D38" s="137"/>
      <c r="E38" s="137"/>
      <c r="F38" s="123">
        <f t="shared" ref="F38:K38" ca="1" si="5">SUM(F33:F37)</f>
        <v>58525000</v>
      </c>
      <c r="G38" s="123">
        <f t="shared" ca="1" si="5"/>
        <v>0</v>
      </c>
      <c r="H38" s="123">
        <f t="shared" ca="1" si="5"/>
        <v>0</v>
      </c>
      <c r="I38" s="123">
        <f t="shared" ca="1" si="5"/>
        <v>0</v>
      </c>
      <c r="J38" s="123">
        <f t="shared" ca="1" si="5"/>
        <v>0</v>
      </c>
      <c r="K38" s="53">
        <f t="shared" ca="1" si="5"/>
        <v>58525000</v>
      </c>
      <c r="L38" s="138" t="s">
        <v>52</v>
      </c>
      <c r="M38" s="139"/>
      <c r="N38" s="139"/>
      <c r="O38" s="139"/>
      <c r="P38" s="124"/>
      <c r="Q38" s="140" t="s">
        <v>52</v>
      </c>
      <c r="R38" s="141"/>
      <c r="T38" s="125"/>
      <c r="U38" s="125"/>
      <c r="V38" s="125"/>
      <c r="W38" s="121"/>
      <c r="X38" s="121"/>
    </row>
    <row r="39" spans="1:24" x14ac:dyDescent="0.3">
      <c r="Q39" s="126"/>
      <c r="R39" s="126"/>
      <c r="T39" s="121"/>
      <c r="U39" s="121"/>
      <c r="V39" s="121"/>
      <c r="W39" s="121"/>
      <c r="X39" s="121"/>
    </row>
    <row r="40" spans="1:24" x14ac:dyDescent="0.3">
      <c r="F40" s="26"/>
      <c r="G40" s="26"/>
      <c r="H40" s="26"/>
      <c r="I40" s="26"/>
      <c r="J40" s="26"/>
      <c r="K40" s="26"/>
      <c r="L40" s="3"/>
      <c r="Q40" s="126"/>
      <c r="R40" s="126"/>
      <c r="T40" s="121"/>
      <c r="U40" s="121"/>
      <c r="V40" s="121"/>
      <c r="W40" s="121"/>
      <c r="X40" s="121"/>
    </row>
    <row r="41" spans="1:24" x14ac:dyDescent="0.3">
      <c r="F41" s="26"/>
      <c r="G41" s="26"/>
      <c r="H41" s="26"/>
      <c r="I41" s="26"/>
      <c r="J41" s="26"/>
      <c r="K41" s="26"/>
      <c r="T41" s="121"/>
      <c r="U41" s="121"/>
      <c r="V41" s="121"/>
      <c r="W41" s="121"/>
      <c r="X41" s="121"/>
    </row>
  </sheetData>
  <mergeCells count="111">
    <mergeCell ref="C3:Q3"/>
    <mergeCell ref="C4:D4"/>
    <mergeCell ref="E4:K4"/>
    <mergeCell ref="M4:P4"/>
    <mergeCell ref="C5:E5"/>
    <mergeCell ref="L5:P5"/>
    <mergeCell ref="Q5:R5"/>
    <mergeCell ref="U8:V8"/>
    <mergeCell ref="D9:D11"/>
    <mergeCell ref="L9:O9"/>
    <mergeCell ref="Q9:R9"/>
    <mergeCell ref="U9:V9"/>
    <mergeCell ref="L10:O10"/>
    <mergeCell ref="Q10:R10"/>
    <mergeCell ref="L11:O11"/>
    <mergeCell ref="Q11:R11"/>
    <mergeCell ref="D6:D8"/>
    <mergeCell ref="L6:O6"/>
    <mergeCell ref="Q6:R6"/>
    <mergeCell ref="U6:V6"/>
    <mergeCell ref="L7:O7"/>
    <mergeCell ref="Q7:R7"/>
    <mergeCell ref="U7:V7"/>
    <mergeCell ref="L8:O8"/>
    <mergeCell ref="Z13:AA13"/>
    <mergeCell ref="L14:O14"/>
    <mergeCell ref="Q14:R14"/>
    <mergeCell ref="T14:V14"/>
    <mergeCell ref="W14:X14"/>
    <mergeCell ref="L15:O15"/>
    <mergeCell ref="Q15:R15"/>
    <mergeCell ref="D12:D25"/>
    <mergeCell ref="L12:O12"/>
    <mergeCell ref="Q12:R12"/>
    <mergeCell ref="L13:O13"/>
    <mergeCell ref="Q13:R13"/>
    <mergeCell ref="T13:X13"/>
    <mergeCell ref="L16:O16"/>
    <mergeCell ref="Q16:R16"/>
    <mergeCell ref="T16:X16"/>
    <mergeCell ref="L17:O17"/>
    <mergeCell ref="L20:P20"/>
    <mergeCell ref="Q20:R20"/>
    <mergeCell ref="V20:X20"/>
    <mergeCell ref="L21:O21"/>
    <mergeCell ref="Q21:R21"/>
    <mergeCell ref="V21:X21"/>
    <mergeCell ref="V17:X17"/>
    <mergeCell ref="L18:O18"/>
    <mergeCell ref="Q18:R18"/>
    <mergeCell ref="V18:X18"/>
    <mergeCell ref="L19:O19"/>
    <mergeCell ref="Q19:R19"/>
    <mergeCell ref="T19:X19"/>
    <mergeCell ref="L25:O25"/>
    <mergeCell ref="Q25:R25"/>
    <mergeCell ref="T25:U25"/>
    <mergeCell ref="C26:E26"/>
    <mergeCell ref="L26:O26"/>
    <mergeCell ref="Q26:R26"/>
    <mergeCell ref="L22:O22"/>
    <mergeCell ref="Q22:R22"/>
    <mergeCell ref="L23:O23"/>
    <mergeCell ref="Q23:R23"/>
    <mergeCell ref="L24:O24"/>
    <mergeCell ref="Q24:R24"/>
    <mergeCell ref="C6:C25"/>
    <mergeCell ref="Q17:R17"/>
    <mergeCell ref="Q8:R8"/>
    <mergeCell ref="C29:E29"/>
    <mergeCell ref="L29:O29"/>
    <mergeCell ref="Q29:R29"/>
    <mergeCell ref="C30:E30"/>
    <mergeCell ref="L30:P30"/>
    <mergeCell ref="Q30:R30"/>
    <mergeCell ref="C27:E27"/>
    <mergeCell ref="L27:O27"/>
    <mergeCell ref="Q27:R27"/>
    <mergeCell ref="C28:E28"/>
    <mergeCell ref="L28:O28"/>
    <mergeCell ref="Q28:R28"/>
    <mergeCell ref="C33:E33"/>
    <mergeCell ref="L33:O33"/>
    <mergeCell ref="Q33:R33"/>
    <mergeCell ref="T33:U33"/>
    <mergeCell ref="C34:E34"/>
    <mergeCell ref="L34:O34"/>
    <mergeCell ref="Q34:R34"/>
    <mergeCell ref="T34:U34"/>
    <mergeCell ref="C31:E31"/>
    <mergeCell ref="L31:O31"/>
    <mergeCell ref="Q31:R31"/>
    <mergeCell ref="C32:E32"/>
    <mergeCell ref="L32:O32"/>
    <mergeCell ref="Q32:R32"/>
    <mergeCell ref="Q39:R40"/>
    <mergeCell ref="C37:E37"/>
    <mergeCell ref="L37:O37"/>
    <mergeCell ref="Q37:R37"/>
    <mergeCell ref="T37:U37"/>
    <mergeCell ref="C38:E38"/>
    <mergeCell ref="L38:O38"/>
    <mergeCell ref="Q38:R38"/>
    <mergeCell ref="C35:E35"/>
    <mergeCell ref="L35:O35"/>
    <mergeCell ref="Q35:R35"/>
    <mergeCell ref="T35:U35"/>
    <mergeCell ref="C36:E36"/>
    <mergeCell ref="L36:O36"/>
    <mergeCell ref="Q36:R36"/>
    <mergeCell ref="T36:U36"/>
  </mergeCells>
  <phoneticPr fontId="1" type="noConversion"/>
  <pageMargins left="0.51181102362204722" right="0.39370078740157483" top="0.55118110236220474" bottom="0.47244094488188981" header="0.31496062992125984" footer="0.31496062992125984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workbookViewId="0">
      <selection activeCell="B36" sqref="B36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20" ht="30" customHeight="1" x14ac:dyDescent="0.3">
      <c r="A2" s="271" t="s">
        <v>267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20" ht="30" customHeight="1" x14ac:dyDescent="0.3">
      <c r="A3" s="272" t="s">
        <v>1</v>
      </c>
      <c r="B3" s="272" t="s">
        <v>2</v>
      </c>
      <c r="C3" s="272" t="s">
        <v>3</v>
      </c>
      <c r="D3" s="272" t="s">
        <v>4</v>
      </c>
      <c r="E3" s="272" t="s">
        <v>5</v>
      </c>
      <c r="F3" s="272"/>
      <c r="G3" s="272" t="s">
        <v>8</v>
      </c>
      <c r="H3" s="272"/>
      <c r="I3" s="272" t="s">
        <v>9</v>
      </c>
      <c r="J3" s="272"/>
      <c r="K3" s="272" t="s">
        <v>10</v>
      </c>
      <c r="L3" s="272"/>
      <c r="M3" s="272" t="s">
        <v>11</v>
      </c>
      <c r="N3" s="271" t="s">
        <v>12</v>
      </c>
      <c r="O3" s="271" t="s">
        <v>13</v>
      </c>
      <c r="P3" s="271" t="s">
        <v>14</v>
      </c>
      <c r="Q3" s="271" t="s">
        <v>15</v>
      </c>
      <c r="R3" s="271" t="s">
        <v>16</v>
      </c>
      <c r="S3" s="271" t="s">
        <v>17</v>
      </c>
      <c r="T3" s="271" t="s">
        <v>18</v>
      </c>
    </row>
    <row r="4" spans="1:20" ht="30" customHeight="1" x14ac:dyDescent="0.3">
      <c r="A4" s="273"/>
      <c r="B4" s="273"/>
      <c r="C4" s="273"/>
      <c r="D4" s="273"/>
      <c r="E4" s="6" t="s">
        <v>6</v>
      </c>
      <c r="F4" s="6" t="s">
        <v>7</v>
      </c>
      <c r="G4" s="6" t="s">
        <v>6</v>
      </c>
      <c r="H4" s="6" t="s">
        <v>7</v>
      </c>
      <c r="I4" s="6" t="s">
        <v>6</v>
      </c>
      <c r="J4" s="6" t="s">
        <v>7</v>
      </c>
      <c r="K4" s="6" t="s">
        <v>6</v>
      </c>
      <c r="L4" s="6" t="s">
        <v>7</v>
      </c>
      <c r="M4" s="273"/>
      <c r="N4" s="271"/>
      <c r="O4" s="271"/>
      <c r="P4" s="271"/>
      <c r="Q4" s="271"/>
      <c r="R4" s="271"/>
      <c r="S4" s="271"/>
      <c r="T4" s="271"/>
    </row>
    <row r="5" spans="1:20" ht="30" customHeight="1" x14ac:dyDescent="0.3">
      <c r="A5" s="7" t="s">
        <v>51</v>
      </c>
      <c r="B5" s="7" t="s">
        <v>52</v>
      </c>
      <c r="C5" s="7" t="s">
        <v>52</v>
      </c>
      <c r="D5" s="8">
        <v>1</v>
      </c>
      <c r="E5" s="9"/>
      <c r="F5" s="9"/>
      <c r="G5" s="9"/>
      <c r="H5" s="9"/>
      <c r="I5" s="9"/>
      <c r="J5" s="9"/>
      <c r="K5" s="9"/>
      <c r="L5" s="9"/>
      <c r="M5" s="7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3"/>
    </row>
    <row r="6" spans="1:20" ht="30" customHeight="1" x14ac:dyDescent="0.3">
      <c r="A6" s="16" t="s">
        <v>61</v>
      </c>
      <c r="B6" s="16" t="s">
        <v>52</v>
      </c>
      <c r="C6" s="16" t="s">
        <v>52</v>
      </c>
      <c r="D6" s="17">
        <v>1</v>
      </c>
      <c r="E6" s="18">
        <f>F7</f>
        <v>58525000</v>
      </c>
      <c r="F6" s="18">
        <f t="shared" ref="F6:F8" si="0">E6*D6</f>
        <v>58525000</v>
      </c>
      <c r="G6" s="18">
        <f>H7</f>
        <v>0</v>
      </c>
      <c r="H6" s="18">
        <f t="shared" ref="H6:H8" si="1">G6*D6</f>
        <v>0</v>
      </c>
      <c r="I6" s="18">
        <f>J7</f>
        <v>0</v>
      </c>
      <c r="J6" s="18">
        <f t="shared" ref="J6:J8" si="2">I6*D6</f>
        <v>0</v>
      </c>
      <c r="K6" s="18">
        <f t="shared" ref="K6:K8" si="3">E6+G6+I6</f>
        <v>58525000</v>
      </c>
      <c r="L6" s="18">
        <f t="shared" ref="L6:L8" si="4">F6+H6+J6</f>
        <v>58525000</v>
      </c>
      <c r="M6" s="16" t="s">
        <v>52</v>
      </c>
      <c r="N6" s="1" t="s">
        <v>62</v>
      </c>
      <c r="O6" s="1" t="s">
        <v>52</v>
      </c>
      <c r="P6" s="1" t="s">
        <v>52</v>
      </c>
      <c r="Q6" s="1" t="s">
        <v>63</v>
      </c>
      <c r="R6">
        <v>2</v>
      </c>
      <c r="S6" s="1" t="s">
        <v>52</v>
      </c>
      <c r="T6" s="3">
        <f>L6*1</f>
        <v>58525000</v>
      </c>
    </row>
    <row r="7" spans="1:20" ht="30" customHeight="1" x14ac:dyDescent="0.3">
      <c r="A7" s="7" t="s">
        <v>64</v>
      </c>
      <c r="B7" s="7" t="s">
        <v>52</v>
      </c>
      <c r="C7" s="7" t="s">
        <v>52</v>
      </c>
      <c r="D7" s="8">
        <v>1</v>
      </c>
      <c r="E7" s="9">
        <f>F8</f>
        <v>58525000</v>
      </c>
      <c r="F7" s="9">
        <f t="shared" si="0"/>
        <v>58525000</v>
      </c>
      <c r="G7" s="9">
        <f>H8</f>
        <v>0</v>
      </c>
      <c r="H7" s="9">
        <f t="shared" si="1"/>
        <v>0</v>
      </c>
      <c r="I7" s="9">
        <f>J8</f>
        <v>0</v>
      </c>
      <c r="J7" s="9">
        <f t="shared" si="2"/>
        <v>0</v>
      </c>
      <c r="K7" s="9">
        <f t="shared" si="3"/>
        <v>58525000</v>
      </c>
      <c r="L7" s="9">
        <f t="shared" si="4"/>
        <v>58525000</v>
      </c>
      <c r="M7" s="7" t="s">
        <v>52</v>
      </c>
      <c r="N7" s="1" t="s">
        <v>65</v>
      </c>
      <c r="O7" s="1" t="s">
        <v>52</v>
      </c>
      <c r="P7" s="1" t="s">
        <v>62</v>
      </c>
      <c r="Q7" s="1" t="s">
        <v>52</v>
      </c>
      <c r="R7">
        <v>3</v>
      </c>
      <c r="S7" s="1" t="s">
        <v>52</v>
      </c>
      <c r="T7" s="3"/>
    </row>
    <row r="8" spans="1:20" ht="30" customHeight="1" x14ac:dyDescent="0.3">
      <c r="A8" s="7" t="s">
        <v>66</v>
      </c>
      <c r="B8" s="7" t="s">
        <v>68</v>
      </c>
      <c r="C8" s="7" t="s">
        <v>52</v>
      </c>
      <c r="D8" s="8">
        <v>1</v>
      </c>
      <c r="E8" s="9">
        <f>공종별내역서!F26</f>
        <v>58525000</v>
      </c>
      <c r="F8" s="9">
        <f t="shared" si="0"/>
        <v>58525000</v>
      </c>
      <c r="G8" s="9">
        <f>공종별내역서!H26</f>
        <v>0</v>
      </c>
      <c r="H8" s="9">
        <f t="shared" si="1"/>
        <v>0</v>
      </c>
      <c r="I8" s="9">
        <f>공종별내역서!J26</f>
        <v>0</v>
      </c>
      <c r="J8" s="9">
        <f t="shared" si="2"/>
        <v>0</v>
      </c>
      <c r="K8" s="9">
        <f t="shared" si="3"/>
        <v>58525000</v>
      </c>
      <c r="L8" s="9">
        <f t="shared" si="4"/>
        <v>58525000</v>
      </c>
      <c r="M8" s="7" t="s">
        <v>52</v>
      </c>
      <c r="N8" s="1" t="s">
        <v>67</v>
      </c>
      <c r="O8" s="1" t="s">
        <v>52</v>
      </c>
      <c r="P8" s="1" t="s">
        <v>65</v>
      </c>
      <c r="Q8" s="1" t="s">
        <v>52</v>
      </c>
      <c r="R8">
        <v>4</v>
      </c>
      <c r="S8" s="1" t="s">
        <v>52</v>
      </c>
      <c r="T8" s="3"/>
    </row>
    <row r="9" spans="1:20" ht="30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T9" s="3"/>
    </row>
    <row r="10" spans="1:20" ht="30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T10" s="3"/>
    </row>
    <row r="11" spans="1:20" ht="30" customHeight="1" x14ac:dyDescent="0.3">
      <c r="A11" s="7" t="s">
        <v>56</v>
      </c>
      <c r="B11" s="8"/>
      <c r="C11" s="8"/>
      <c r="D11" s="8"/>
      <c r="E11" s="8"/>
      <c r="F11" s="9">
        <f>F5</f>
        <v>0</v>
      </c>
      <c r="G11" s="8"/>
      <c r="H11" s="9">
        <f>H5</f>
        <v>0</v>
      </c>
      <c r="I11" s="8"/>
      <c r="J11" s="9">
        <f>J5</f>
        <v>0</v>
      </c>
      <c r="K11" s="8"/>
      <c r="L11" s="9">
        <f>L5</f>
        <v>0</v>
      </c>
      <c r="M11" s="8"/>
      <c r="T11" s="3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view="pageBreakPreview" zoomScale="60" zoomScaleNormal="100" zoomScalePageLayoutView="40" workbookViewId="0">
      <selection activeCell="E6" sqref="E6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270" t="s">
        <v>19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48" ht="30" customHeight="1" x14ac:dyDescent="0.3">
      <c r="A2" s="271" t="s">
        <v>267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48" ht="30" customHeight="1" x14ac:dyDescent="0.3">
      <c r="A3" s="272" t="s">
        <v>1</v>
      </c>
      <c r="B3" s="272" t="s">
        <v>2</v>
      </c>
      <c r="C3" s="272" t="s">
        <v>3</v>
      </c>
      <c r="D3" s="272" t="s">
        <v>4</v>
      </c>
      <c r="E3" s="272" t="s">
        <v>5</v>
      </c>
      <c r="F3" s="272"/>
      <c r="G3" s="272" t="s">
        <v>8</v>
      </c>
      <c r="H3" s="272"/>
      <c r="I3" s="272" t="s">
        <v>9</v>
      </c>
      <c r="J3" s="272"/>
      <c r="K3" s="272" t="s">
        <v>10</v>
      </c>
      <c r="L3" s="272"/>
      <c r="M3" s="272" t="s">
        <v>11</v>
      </c>
      <c r="N3" s="271" t="s">
        <v>20</v>
      </c>
      <c r="O3" s="271" t="s">
        <v>13</v>
      </c>
      <c r="P3" s="271" t="s">
        <v>21</v>
      </c>
      <c r="Q3" s="271" t="s">
        <v>12</v>
      </c>
      <c r="R3" s="271" t="s">
        <v>22</v>
      </c>
      <c r="S3" s="271" t="s">
        <v>23</v>
      </c>
      <c r="T3" s="271" t="s">
        <v>24</v>
      </c>
      <c r="U3" s="271" t="s">
        <v>25</v>
      </c>
      <c r="V3" s="271" t="s">
        <v>26</v>
      </c>
      <c r="W3" s="271" t="s">
        <v>27</v>
      </c>
      <c r="X3" s="271" t="s">
        <v>28</v>
      </c>
      <c r="Y3" s="271" t="s">
        <v>29</v>
      </c>
      <c r="Z3" s="271" t="s">
        <v>30</v>
      </c>
      <c r="AA3" s="271" t="s">
        <v>31</v>
      </c>
      <c r="AB3" s="271" t="s">
        <v>32</v>
      </c>
      <c r="AC3" s="271" t="s">
        <v>33</v>
      </c>
      <c r="AD3" s="271" t="s">
        <v>34</v>
      </c>
      <c r="AE3" s="271" t="s">
        <v>35</v>
      </c>
      <c r="AF3" s="271" t="s">
        <v>36</v>
      </c>
      <c r="AG3" s="271" t="s">
        <v>37</v>
      </c>
      <c r="AH3" s="271" t="s">
        <v>38</v>
      </c>
      <c r="AI3" s="271" t="s">
        <v>39</v>
      </c>
      <c r="AJ3" s="271" t="s">
        <v>40</v>
      </c>
      <c r="AK3" s="271" t="s">
        <v>41</v>
      </c>
      <c r="AL3" s="271" t="s">
        <v>42</v>
      </c>
      <c r="AM3" s="271" t="s">
        <v>43</v>
      </c>
      <c r="AN3" s="271" t="s">
        <v>44</v>
      </c>
      <c r="AO3" s="271" t="s">
        <v>45</v>
      </c>
      <c r="AP3" s="271" t="s">
        <v>46</v>
      </c>
      <c r="AQ3" s="271" t="s">
        <v>47</v>
      </c>
      <c r="AR3" s="271" t="s">
        <v>48</v>
      </c>
      <c r="AS3" s="271" t="s">
        <v>15</v>
      </c>
      <c r="AT3" s="271" t="s">
        <v>16</v>
      </c>
      <c r="AU3" s="271" t="s">
        <v>49</v>
      </c>
      <c r="AV3" s="271" t="s">
        <v>50</v>
      </c>
    </row>
    <row r="4" spans="1:48" ht="30" customHeight="1" x14ac:dyDescent="0.3">
      <c r="A4" s="273"/>
      <c r="B4" s="273"/>
      <c r="C4" s="273"/>
      <c r="D4" s="273"/>
      <c r="E4" s="6" t="s">
        <v>6</v>
      </c>
      <c r="F4" s="6" t="s">
        <v>7</v>
      </c>
      <c r="G4" s="6" t="s">
        <v>6</v>
      </c>
      <c r="H4" s="6" t="s">
        <v>7</v>
      </c>
      <c r="I4" s="6" t="s">
        <v>6</v>
      </c>
      <c r="J4" s="6" t="s">
        <v>7</v>
      </c>
      <c r="K4" s="6" t="s">
        <v>6</v>
      </c>
      <c r="L4" s="6" t="s">
        <v>7</v>
      </c>
      <c r="M4" s="273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</row>
    <row r="5" spans="1:48" ht="30" customHeight="1" x14ac:dyDescent="0.3">
      <c r="A5" s="11" t="s">
        <v>66</v>
      </c>
      <c r="B5" s="11" t="s">
        <v>69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5"/>
      <c r="O5" s="5"/>
      <c r="P5" s="5"/>
      <c r="Q5" s="4" t="s">
        <v>67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30" customHeight="1" x14ac:dyDescent="0.3">
      <c r="A6" s="7" t="s">
        <v>58</v>
      </c>
      <c r="B6" s="7" t="s">
        <v>52</v>
      </c>
      <c r="C6" s="7" t="s">
        <v>59</v>
      </c>
      <c r="D6" s="8">
        <v>1</v>
      </c>
      <c r="E6" s="10">
        <f>TRUNC(단가대비표!O5,0)</f>
        <v>58525000</v>
      </c>
      <c r="F6" s="10">
        <f>TRUNC(E6*D6, 0)</f>
        <v>58525000</v>
      </c>
      <c r="G6" s="10">
        <f>TRUNC(단가대비표!P5,0)</f>
        <v>0</v>
      </c>
      <c r="H6" s="10">
        <f>TRUNC(G6*D6, 0)</f>
        <v>0</v>
      </c>
      <c r="I6" s="10">
        <f>TRUNC(단가대비표!V5,0)</f>
        <v>0</v>
      </c>
      <c r="J6" s="10">
        <f>TRUNC(I6*D6, 0)</f>
        <v>0</v>
      </c>
      <c r="K6" s="10">
        <f>TRUNC(E6+G6+I6, 0)</f>
        <v>58525000</v>
      </c>
      <c r="L6" s="10">
        <f>TRUNC(F6+H6+J6, 0)</f>
        <v>58525000</v>
      </c>
      <c r="M6" s="7" t="s">
        <v>52</v>
      </c>
      <c r="N6" s="1" t="s">
        <v>60</v>
      </c>
      <c r="O6" s="1" t="s">
        <v>52</v>
      </c>
      <c r="P6" s="1" t="s">
        <v>52</v>
      </c>
      <c r="Q6" s="1" t="s">
        <v>67</v>
      </c>
      <c r="R6" s="1" t="s">
        <v>55</v>
      </c>
      <c r="S6" s="1" t="s">
        <v>55</v>
      </c>
      <c r="T6" s="1" t="s">
        <v>54</v>
      </c>
      <c r="X6">
        <v>1</v>
      </c>
      <c r="AR6" s="1" t="s">
        <v>52</v>
      </c>
      <c r="AS6" s="1" t="s">
        <v>52</v>
      </c>
      <c r="AU6" s="1" t="s">
        <v>70</v>
      </c>
      <c r="AV6">
        <v>838</v>
      </c>
    </row>
    <row r="7" spans="1:48" ht="30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48" ht="30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48" ht="30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48" ht="30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48" ht="30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48" ht="30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48" ht="30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48" ht="30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48" ht="30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48" ht="30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4" ht="30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4" ht="30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ht="30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4" ht="30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4" ht="3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4" ht="30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4" ht="30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4" ht="30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4" ht="30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4" ht="30" customHeight="1" x14ac:dyDescent="0.3">
      <c r="A26" s="7" t="s">
        <v>56</v>
      </c>
      <c r="B26" s="8"/>
      <c r="C26" s="8"/>
      <c r="D26" s="8"/>
      <c r="E26" s="8"/>
      <c r="F26" s="10">
        <f>SUM(F6:F25)</f>
        <v>58525000</v>
      </c>
      <c r="G26" s="8"/>
      <c r="H26" s="10">
        <f>SUM(H6:H25)</f>
        <v>0</v>
      </c>
      <c r="I26" s="8"/>
      <c r="J26" s="10">
        <f>SUM(J6:J25)</f>
        <v>0</v>
      </c>
      <c r="K26" s="8"/>
      <c r="L26" s="10">
        <f>SUM(L6:L25)</f>
        <v>58525000</v>
      </c>
      <c r="M26" s="8"/>
      <c r="N26" t="s">
        <v>57</v>
      </c>
    </row>
  </sheetData>
  <mergeCells count="46"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opLeftCell="B1" workbookViewId="0">
      <selection activeCell="E17" sqref="E17"/>
    </sheetView>
  </sheetViews>
  <sheetFormatPr defaultRowHeight="16.5" x14ac:dyDescent="0.3"/>
  <cols>
    <col min="1" max="1" width="21.625" hidden="1" customWidth="1"/>
    <col min="2" max="3" width="30.5" bestFit="1" customWidth="1"/>
    <col min="4" max="4" width="5.5" bestFit="1" customWidth="1"/>
    <col min="5" max="5" width="11.25" bestFit="1" customWidth="1"/>
    <col min="6" max="6" width="6.625" bestFit="1" customWidth="1"/>
    <col min="7" max="7" width="10.5" bestFit="1" customWidth="1"/>
    <col min="8" max="8" width="6.625" bestFit="1" customWidth="1"/>
    <col min="9" max="9" width="13.87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15" bestFit="1" customWidth="1"/>
    <col min="14" max="14" width="6.625" bestFit="1" customWidth="1"/>
    <col min="15" max="15" width="15" bestFit="1" customWidth="1"/>
    <col min="16" max="16" width="13.875" bestFit="1" customWidth="1"/>
    <col min="17" max="17" width="11.25" bestFit="1" customWidth="1"/>
    <col min="18" max="22" width="9.25" bestFit="1" customWidth="1"/>
    <col min="23" max="23" width="8.5" bestFit="1" customWidth="1"/>
    <col min="24" max="24" width="6.7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 x14ac:dyDescent="0.3">
      <c r="A1" s="270" t="s">
        <v>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</row>
    <row r="2" spans="1:28" ht="30" customHeight="1" x14ac:dyDescent="0.3">
      <c r="A2" s="274" t="s">
        <v>267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</row>
    <row r="3" spans="1:28" ht="30" customHeight="1" x14ac:dyDescent="0.3">
      <c r="A3" s="272" t="s">
        <v>71</v>
      </c>
      <c r="B3" s="272" t="s">
        <v>1</v>
      </c>
      <c r="C3" s="272" t="s">
        <v>77</v>
      </c>
      <c r="D3" s="272" t="s">
        <v>3</v>
      </c>
      <c r="E3" s="272" t="s">
        <v>5</v>
      </c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 t="s">
        <v>72</v>
      </c>
      <c r="Q3" s="272" t="s">
        <v>73</v>
      </c>
      <c r="R3" s="272"/>
      <c r="S3" s="272"/>
      <c r="T3" s="272"/>
      <c r="U3" s="272"/>
      <c r="V3" s="272"/>
      <c r="W3" s="272" t="s">
        <v>74</v>
      </c>
      <c r="X3" s="272" t="s">
        <v>11</v>
      </c>
      <c r="Y3" s="271" t="s">
        <v>85</v>
      </c>
      <c r="Z3" s="271" t="s">
        <v>86</v>
      </c>
      <c r="AA3" s="271" t="s">
        <v>87</v>
      </c>
      <c r="AB3" s="271" t="s">
        <v>48</v>
      </c>
    </row>
    <row r="4" spans="1:28" ht="30" customHeight="1" x14ac:dyDescent="0.3">
      <c r="A4" s="272"/>
      <c r="B4" s="272"/>
      <c r="C4" s="272"/>
      <c r="D4" s="272"/>
      <c r="E4" s="2" t="s">
        <v>78</v>
      </c>
      <c r="F4" s="2" t="s">
        <v>79</v>
      </c>
      <c r="G4" s="2" t="s">
        <v>80</v>
      </c>
      <c r="H4" s="2" t="s">
        <v>79</v>
      </c>
      <c r="I4" s="2" t="s">
        <v>81</v>
      </c>
      <c r="J4" s="2" t="s">
        <v>79</v>
      </c>
      <c r="K4" s="2" t="s">
        <v>82</v>
      </c>
      <c r="L4" s="2" t="s">
        <v>79</v>
      </c>
      <c r="M4" s="2" t="s">
        <v>83</v>
      </c>
      <c r="N4" s="2" t="s">
        <v>79</v>
      </c>
      <c r="O4" s="2" t="s">
        <v>84</v>
      </c>
      <c r="P4" s="272"/>
      <c r="Q4" s="2" t="s">
        <v>78</v>
      </c>
      <c r="R4" s="2" t="s">
        <v>80</v>
      </c>
      <c r="S4" s="2" t="s">
        <v>81</v>
      </c>
      <c r="T4" s="2" t="s">
        <v>82</v>
      </c>
      <c r="U4" s="2" t="s">
        <v>83</v>
      </c>
      <c r="V4" s="2" t="s">
        <v>84</v>
      </c>
      <c r="W4" s="272"/>
      <c r="X4" s="272"/>
      <c r="Y4" s="271"/>
      <c r="Z4" s="271"/>
      <c r="AA4" s="271"/>
      <c r="AB4" s="271"/>
    </row>
    <row r="5" spans="1:28" ht="30" customHeight="1" x14ac:dyDescent="0.3">
      <c r="A5" s="7" t="s">
        <v>60</v>
      </c>
      <c r="B5" s="7" t="s">
        <v>58</v>
      </c>
      <c r="C5" s="7" t="s">
        <v>52</v>
      </c>
      <c r="D5" s="13" t="s">
        <v>59</v>
      </c>
      <c r="E5" s="14">
        <v>0</v>
      </c>
      <c r="F5" s="7" t="s">
        <v>52</v>
      </c>
      <c r="G5" s="14">
        <v>0</v>
      </c>
      <c r="H5" s="7" t="s">
        <v>52</v>
      </c>
      <c r="I5" s="14">
        <v>0</v>
      </c>
      <c r="J5" s="7" t="s">
        <v>52</v>
      </c>
      <c r="K5" s="14">
        <v>0</v>
      </c>
      <c r="L5" s="7" t="s">
        <v>52</v>
      </c>
      <c r="M5" s="14">
        <v>58525000</v>
      </c>
      <c r="N5" s="7" t="s">
        <v>52</v>
      </c>
      <c r="O5" s="14">
        <f>SMALL(E5:M5,COUNTIF(E5:M5,0)+1)</f>
        <v>58525000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7" t="s">
        <v>88</v>
      </c>
      <c r="X5" s="7" t="s">
        <v>52</v>
      </c>
      <c r="Y5" s="1" t="s">
        <v>52</v>
      </c>
      <c r="Z5" s="1" t="s">
        <v>52</v>
      </c>
      <c r="AA5" s="15"/>
      <c r="AB5" s="1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6.5" x14ac:dyDescent="0.3"/>
  <sheetData>
    <row r="1" spans="1:7" x14ac:dyDescent="0.3">
      <c r="A1" t="s">
        <v>89</v>
      </c>
    </row>
    <row r="2" spans="1:7" x14ac:dyDescent="0.3">
      <c r="A2" s="1" t="s">
        <v>90</v>
      </c>
      <c r="B2" t="s">
        <v>91</v>
      </c>
      <c r="C2" s="1" t="s">
        <v>92</v>
      </c>
      <c r="D2" t="s">
        <v>54</v>
      </c>
    </row>
    <row r="3" spans="1:7" x14ac:dyDescent="0.3">
      <c r="A3" s="1" t="s">
        <v>93</v>
      </c>
      <c r="B3" t="s">
        <v>94</v>
      </c>
    </row>
    <row r="4" spans="1:7" x14ac:dyDescent="0.3">
      <c r="A4" s="1" t="s">
        <v>95</v>
      </c>
      <c r="B4">
        <v>5</v>
      </c>
    </row>
    <row r="5" spans="1:7" x14ac:dyDescent="0.3">
      <c r="A5" s="1" t="s">
        <v>96</v>
      </c>
      <c r="B5">
        <v>5</v>
      </c>
    </row>
    <row r="6" spans="1:7" x14ac:dyDescent="0.3">
      <c r="A6" s="1" t="s">
        <v>97</v>
      </c>
      <c r="B6" t="s">
        <v>98</v>
      </c>
    </row>
    <row r="7" spans="1:7" x14ac:dyDescent="0.3">
      <c r="A7" s="1" t="s">
        <v>99</v>
      </c>
      <c r="B7" t="s">
        <v>100</v>
      </c>
      <c r="C7">
        <v>1</v>
      </c>
    </row>
    <row r="8" spans="1:7" x14ac:dyDescent="0.3">
      <c r="A8" s="1" t="s">
        <v>101</v>
      </c>
      <c r="B8" t="s">
        <v>100</v>
      </c>
      <c r="C8">
        <v>2</v>
      </c>
    </row>
    <row r="9" spans="1:7" x14ac:dyDescent="0.3">
      <c r="A9" s="1" t="s">
        <v>102</v>
      </c>
      <c r="B9" t="s">
        <v>78</v>
      </c>
      <c r="C9" t="s">
        <v>80</v>
      </c>
      <c r="D9" t="s">
        <v>81</v>
      </c>
      <c r="E9" t="s">
        <v>82</v>
      </c>
      <c r="F9" t="s">
        <v>83</v>
      </c>
      <c r="G9" t="s">
        <v>103</v>
      </c>
    </row>
    <row r="10" spans="1:7" x14ac:dyDescent="0.3">
      <c r="A10" s="1" t="s">
        <v>104</v>
      </c>
      <c r="B10">
        <v>1157</v>
      </c>
      <c r="C10">
        <v>0</v>
      </c>
      <c r="D10">
        <v>0</v>
      </c>
    </row>
    <row r="11" spans="1:7" x14ac:dyDescent="0.3">
      <c r="A11" s="1" t="s">
        <v>105</v>
      </c>
      <c r="B11" t="s">
        <v>106</v>
      </c>
      <c r="C11">
        <v>4</v>
      </c>
    </row>
    <row r="12" spans="1:7" x14ac:dyDescent="0.3">
      <c r="A12" s="1" t="s">
        <v>107</v>
      </c>
      <c r="B12" t="s">
        <v>106</v>
      </c>
      <c r="C12">
        <v>4</v>
      </c>
    </row>
    <row r="13" spans="1:7" x14ac:dyDescent="0.3">
      <c r="A13" s="1" t="s">
        <v>108</v>
      </c>
      <c r="B13" t="s">
        <v>106</v>
      </c>
      <c r="C13">
        <v>3</v>
      </c>
    </row>
    <row r="14" spans="1:7" x14ac:dyDescent="0.3">
      <c r="A14" s="1" t="s">
        <v>109</v>
      </c>
      <c r="B14" t="s">
        <v>100</v>
      </c>
      <c r="C14">
        <v>5</v>
      </c>
    </row>
    <row r="15" spans="1:7" x14ac:dyDescent="0.3">
      <c r="A15" s="1" t="s">
        <v>110</v>
      </c>
      <c r="B15" t="s">
        <v>111</v>
      </c>
      <c r="C15" t="s">
        <v>112</v>
      </c>
      <c r="D15" t="s">
        <v>112</v>
      </c>
      <c r="E15" t="s">
        <v>112</v>
      </c>
      <c r="F15">
        <v>1</v>
      </c>
    </row>
    <row r="16" spans="1:7" x14ac:dyDescent="0.3">
      <c r="A16" s="1" t="s">
        <v>113</v>
      </c>
      <c r="B16">
        <v>1.1100000000000001</v>
      </c>
      <c r="C16">
        <v>1.1200000000000001</v>
      </c>
    </row>
    <row r="17" spans="1:13" x14ac:dyDescent="0.3">
      <c r="A17" s="1" t="s">
        <v>114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115</v>
      </c>
      <c r="B18">
        <v>1.25</v>
      </c>
      <c r="C18">
        <v>1.071</v>
      </c>
    </row>
    <row r="19" spans="1:13" x14ac:dyDescent="0.3">
      <c r="A19" s="1" t="s">
        <v>116</v>
      </c>
    </row>
    <row r="20" spans="1:13" x14ac:dyDescent="0.3">
      <c r="A20" s="1" t="s">
        <v>117</v>
      </c>
      <c r="B20" s="1" t="s">
        <v>100</v>
      </c>
      <c r="C20">
        <v>1</v>
      </c>
    </row>
    <row r="21" spans="1:13" x14ac:dyDescent="0.3">
      <c r="A21" t="s">
        <v>118</v>
      </c>
      <c r="B21" t="s">
        <v>119</v>
      </c>
      <c r="C21" t="s">
        <v>120</v>
      </c>
    </row>
    <row r="22" spans="1:13" x14ac:dyDescent="0.3">
      <c r="A22">
        <v>1</v>
      </c>
      <c r="B22" s="1" t="s">
        <v>121</v>
      </c>
      <c r="C22" s="1" t="s">
        <v>122</v>
      </c>
    </row>
    <row r="23" spans="1:13" x14ac:dyDescent="0.3">
      <c r="A23">
        <v>2</v>
      </c>
      <c r="B23" s="1" t="s">
        <v>123</v>
      </c>
      <c r="C23" s="1" t="s">
        <v>124</v>
      </c>
    </row>
    <row r="24" spans="1:13" x14ac:dyDescent="0.3">
      <c r="A24">
        <v>3</v>
      </c>
      <c r="B24" s="1" t="s">
        <v>125</v>
      </c>
      <c r="C24" s="1" t="s">
        <v>126</v>
      </c>
    </row>
    <row r="25" spans="1:13" x14ac:dyDescent="0.3">
      <c r="A25">
        <v>4</v>
      </c>
      <c r="B25" s="1" t="s">
        <v>127</v>
      </c>
      <c r="C25" s="1" t="s">
        <v>128</v>
      </c>
    </row>
    <row r="26" spans="1:13" x14ac:dyDescent="0.3">
      <c r="A26">
        <v>5</v>
      </c>
      <c r="B26" s="1" t="s">
        <v>129</v>
      </c>
      <c r="C26" s="1" t="s">
        <v>52</v>
      </c>
    </row>
    <row r="27" spans="1:13" x14ac:dyDescent="0.3">
      <c r="A27">
        <v>6</v>
      </c>
      <c r="B27" s="1" t="s">
        <v>130</v>
      </c>
      <c r="C27" s="1" t="s">
        <v>52</v>
      </c>
    </row>
    <row r="28" spans="1:13" x14ac:dyDescent="0.3">
      <c r="A28">
        <v>7</v>
      </c>
      <c r="B28" s="1" t="s">
        <v>131</v>
      </c>
      <c r="C28" s="1" t="s">
        <v>52</v>
      </c>
    </row>
    <row r="29" spans="1:13" x14ac:dyDescent="0.3">
      <c r="A29">
        <v>8</v>
      </c>
      <c r="B29" s="1" t="s">
        <v>132</v>
      </c>
      <c r="C29" s="1" t="s">
        <v>52</v>
      </c>
    </row>
    <row r="30" spans="1:13" x14ac:dyDescent="0.3">
      <c r="A30">
        <v>9</v>
      </c>
      <c r="B30" s="1" t="s">
        <v>133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원가계산서</vt:lpstr>
      <vt:lpstr>공종별집계표</vt:lpstr>
      <vt:lpstr>공종별내역서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원가계산서!Print_Area</vt:lpstr>
      <vt:lpstr>공종별내역서!Print_Titles</vt:lpstr>
      <vt:lpstr>공종별집계표!Print_Titles</vt:lpstr>
      <vt:lpstr>단가대비표!Print_Titles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2023-05-31T00:50:17Z</cp:lastPrinted>
  <dcterms:created xsi:type="dcterms:W3CDTF">2023-05-02T04:41:05Z</dcterms:created>
  <dcterms:modified xsi:type="dcterms:W3CDTF">2023-10-18T05:34:09Z</dcterms:modified>
</cp:coreProperties>
</file>