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010" windowHeight="13965" activeTab="2"/>
  </bookViews>
  <sheets>
    <sheet name="원가계산서" sheetId="11" r:id="rId1"/>
    <sheet name="집계표" sheetId="10" r:id="rId2"/>
    <sheet name="내역서" sheetId="9" r:id="rId3"/>
    <sheet name="Sheet1" sheetId="1" r:id="rId4"/>
  </sheets>
  <externalReferences>
    <externalReference r:id="rId5"/>
  </externalReferences>
  <definedNames>
    <definedName name="_xlnm.Print_Area" localSheetId="2">내역서!$A$1:$M$100</definedName>
    <definedName name="_xlnm.Print_Area" localSheetId="0">원가계산서!$A$1:$F$29</definedName>
    <definedName name="_xlnm.Print_Area" localSheetId="1">집계표!$A$1:$M$36</definedName>
    <definedName name="_xlnm.Print_Titles" localSheetId="2">내역서!$1:$4</definedName>
    <definedName name="_xlnm.Print_Titles" localSheetId="0">원가계산서!$1:$4</definedName>
    <definedName name="_xlnm.Print_Titles" localSheetId="1">집계표!$1:$4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0"/>
  <c r="A2" i="9" s="1"/>
  <c r="D27" i="11" l="1"/>
  <c r="D24"/>
  <c r="D23"/>
  <c r="D20"/>
  <c r="D19"/>
  <c r="D17"/>
  <c r="D16"/>
  <c r="D15"/>
  <c r="D14"/>
  <c r="D13"/>
  <c r="D10"/>
  <c r="AL25" i="10"/>
  <c r="AL24"/>
  <c r="AL23"/>
  <c r="AL22"/>
  <c r="AL36" s="1"/>
  <c r="AL5" s="1"/>
  <c r="AL20" s="1"/>
  <c r="AL6"/>
  <c r="AL100" i="9"/>
  <c r="K87"/>
  <c r="O87"/>
  <c r="R87"/>
  <c r="S87"/>
  <c r="T87"/>
  <c r="U87"/>
  <c r="V87"/>
  <c r="W87"/>
  <c r="Y87"/>
  <c r="Z87"/>
  <c r="AA87"/>
  <c r="AB87"/>
  <c r="AC87"/>
  <c r="AD87"/>
  <c r="AE87"/>
  <c r="AF87"/>
  <c r="AG87"/>
  <c r="AH87"/>
  <c r="AI87"/>
  <c r="AJ87"/>
  <c r="AK87"/>
  <c r="K86"/>
  <c r="O86"/>
  <c r="R86"/>
  <c r="S86"/>
  <c r="T86"/>
  <c r="U86"/>
  <c r="V86"/>
  <c r="W86"/>
  <c r="W100" s="1"/>
  <c r="W6" i="10" s="1"/>
  <c r="Y86" i="9"/>
  <c r="Z86"/>
  <c r="Z100" s="1"/>
  <c r="Z6" i="10" s="1"/>
  <c r="AA86" i="9"/>
  <c r="AB86"/>
  <c r="AC86"/>
  <c r="AD86"/>
  <c r="AE86"/>
  <c r="AF86"/>
  <c r="AG86"/>
  <c r="AH86"/>
  <c r="AI86"/>
  <c r="AJ86"/>
  <c r="AJ100" s="1"/>
  <c r="AJ6" i="10" s="1"/>
  <c r="AK86" i="9"/>
  <c r="AL84"/>
  <c r="K72"/>
  <c r="O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E71"/>
  <c r="G71"/>
  <c r="O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E70"/>
  <c r="G70"/>
  <c r="O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68"/>
  <c r="F52"/>
  <c r="H52"/>
  <c r="J52"/>
  <c r="R52" s="1"/>
  <c r="K52"/>
  <c r="O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O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F50"/>
  <c r="H50"/>
  <c r="J50"/>
  <c r="R50" s="1"/>
  <c r="K50"/>
  <c r="O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K49"/>
  <c r="O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K48"/>
  <c r="O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K47"/>
  <c r="O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K46"/>
  <c r="O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K45"/>
  <c r="O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O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O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O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O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O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O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O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6"/>
  <c r="O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O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K25"/>
  <c r="O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K24"/>
  <c r="O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O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O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0"/>
  <c r="O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K11"/>
  <c r="O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O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O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O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O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O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H41"/>
  <c r="J41"/>
  <c r="J27"/>
  <c r="R27" s="1"/>
  <c r="S36" l="1"/>
  <c r="S23" i="10" s="1"/>
  <c r="AA100" i="9"/>
  <c r="AA6" i="10" s="1"/>
  <c r="L52" i="9"/>
  <c r="AE36"/>
  <c r="AE23" i="10" s="1"/>
  <c r="AA36" i="9"/>
  <c r="AA23" i="10" s="1"/>
  <c r="J26" i="9"/>
  <c r="R26" s="1"/>
  <c r="R41"/>
  <c r="L50"/>
  <c r="AK36"/>
  <c r="AK23" i="10" s="1"/>
  <c r="Y36" i="9"/>
  <c r="Y23" i="10" s="1"/>
  <c r="AH100" i="9"/>
  <c r="AH6" i="10" s="1"/>
  <c r="U100" i="9"/>
  <c r="U6" i="10" s="1"/>
  <c r="AF84" i="9"/>
  <c r="AF25" i="10" s="1"/>
  <c r="T84" i="9"/>
  <c r="T25" i="10" s="1"/>
  <c r="AI100" i="9"/>
  <c r="AI6" i="10" s="1"/>
  <c r="V100" i="9"/>
  <c r="V6" i="10" s="1"/>
  <c r="AG84" i="9"/>
  <c r="AG25" i="10" s="1"/>
  <c r="U84" i="9"/>
  <c r="U25" i="10" s="1"/>
  <c r="AC100" i="9"/>
  <c r="AC6" i="10" s="1"/>
  <c r="AG36" i="9"/>
  <c r="AG23" i="10" s="1"/>
  <c r="U36" i="9"/>
  <c r="U23" i="10" s="1"/>
  <c r="AG100" i="9"/>
  <c r="AG6" i="10" s="1"/>
  <c r="T100" i="9"/>
  <c r="T6" i="10" s="1"/>
  <c r="AF100" i="9"/>
  <c r="AF6" i="10" s="1"/>
  <c r="AC36" i="9"/>
  <c r="AC23" i="10" s="1"/>
  <c r="AD100" i="9"/>
  <c r="AD6" i="10" s="1"/>
  <c r="AE84" i="9"/>
  <c r="AE25" i="10" s="1"/>
  <c r="S84" i="9"/>
  <c r="S25" i="10" s="1"/>
  <c r="AC84" i="9"/>
  <c r="AC25" i="10" s="1"/>
  <c r="AA84" i="9"/>
  <c r="AA25" i="10" s="1"/>
  <c r="AB100" i="9"/>
  <c r="AB6" i="10" s="1"/>
  <c r="AK100" i="9"/>
  <c r="AK6" i="10" s="1"/>
  <c r="Y100" i="9"/>
  <c r="Y6" i="10" s="1"/>
  <c r="AI36" i="9"/>
  <c r="AI23" i="10" s="1"/>
  <c r="W36" i="9"/>
  <c r="W23" i="10" s="1"/>
  <c r="AJ20" i="9"/>
  <c r="AJ22" i="10" s="1"/>
  <c r="X20" i="9"/>
  <c r="X22" i="10" s="1"/>
  <c r="AH36" i="9"/>
  <c r="AH23" i="10" s="1"/>
  <c r="V36" i="9"/>
  <c r="V23" i="10" s="1"/>
  <c r="S100" i="9"/>
  <c r="S6" i="10" s="1"/>
  <c r="AI20" i="9"/>
  <c r="AI22" i="10" s="1"/>
  <c r="W20" i="9"/>
  <c r="W22" i="10" s="1"/>
  <c r="AE100" i="9"/>
  <c r="AE6" i="10" s="1"/>
  <c r="AJ36" i="9"/>
  <c r="AJ23" i="10" s="1"/>
  <c r="R100" i="9"/>
  <c r="R6" i="10" s="1"/>
  <c r="AB84" i="9"/>
  <c r="AB25" i="10" s="1"/>
  <c r="AI84" i="9"/>
  <c r="AI25" i="10" s="1"/>
  <c r="W84" i="9"/>
  <c r="W25" i="10" s="1"/>
  <c r="AH84" i="9"/>
  <c r="AH25" i="10" s="1"/>
  <c r="V84" i="9"/>
  <c r="V25" i="10" s="1"/>
  <c r="AJ84" i="9"/>
  <c r="AJ25" i="10" s="1"/>
  <c r="X84" i="9"/>
  <c r="X25" i="10" s="1"/>
  <c r="AK84" i="9"/>
  <c r="AK25" i="10" s="1"/>
  <c r="Y84" i="9"/>
  <c r="Y25" i="10" s="1"/>
  <c r="AD84" i="9"/>
  <c r="AD25" i="10" s="1"/>
  <c r="Z84" i="9"/>
  <c r="Z25" i="10" s="1"/>
  <c r="AH68" i="9"/>
  <c r="AH24" i="10" s="1"/>
  <c r="V68" i="9"/>
  <c r="V24" i="10" s="1"/>
  <c r="X68" i="9"/>
  <c r="X24" i="10" s="1"/>
  <c r="AJ68" i="9"/>
  <c r="AJ24" i="10" s="1"/>
  <c r="AK68" i="9"/>
  <c r="AK24" i="10" s="1"/>
  <c r="Y68" i="9"/>
  <c r="Y24" i="10" s="1"/>
  <c r="AI68" i="9"/>
  <c r="AI24" i="10" s="1"/>
  <c r="W68" i="9"/>
  <c r="W24" i="10" s="1"/>
  <c r="AG68" i="9"/>
  <c r="AG24" i="10" s="1"/>
  <c r="U68" i="9"/>
  <c r="U24" i="10" s="1"/>
  <c r="AF68" i="9"/>
  <c r="AF24" i="10" s="1"/>
  <c r="T68" i="9"/>
  <c r="T24" i="10" s="1"/>
  <c r="AE68" i="9"/>
  <c r="AE24" i="10" s="1"/>
  <c r="S68" i="9"/>
  <c r="S24" i="10" s="1"/>
  <c r="AD68" i="9"/>
  <c r="AD24" i="10" s="1"/>
  <c r="AC68" i="9"/>
  <c r="AC24" i="10" s="1"/>
  <c r="AB68" i="9"/>
  <c r="AB24" i="10" s="1"/>
  <c r="AA68" i="9"/>
  <c r="AA24" i="10" s="1"/>
  <c r="Z68" i="9"/>
  <c r="Z24" i="10" s="1"/>
  <c r="AF36" i="9"/>
  <c r="AF23" i="10" s="1"/>
  <c r="T36" i="9"/>
  <c r="T23" i="10" s="1"/>
  <c r="AD36" i="9"/>
  <c r="AD23" i="10" s="1"/>
  <c r="AB36" i="9"/>
  <c r="AB23" i="10" s="1"/>
  <c r="Z36" i="9"/>
  <c r="Z23" i="10" s="1"/>
  <c r="X36" i="9"/>
  <c r="X23" i="10" s="1"/>
  <c r="AG20" i="9"/>
  <c r="AG22" i="10" s="1"/>
  <c r="U20" i="9"/>
  <c r="U22" i="10" s="1"/>
  <c r="AH20" i="9"/>
  <c r="AH22" i="10" s="1"/>
  <c r="V20" i="9"/>
  <c r="V22" i="10" s="1"/>
  <c r="AF20" i="9"/>
  <c r="AF22" i="10" s="1"/>
  <c r="T20" i="9"/>
  <c r="T22" i="10" s="1"/>
  <c r="AK20" i="9"/>
  <c r="AK22" i="10" s="1"/>
  <c r="Y20" i="9"/>
  <c r="Y22" i="10" s="1"/>
  <c r="AE20" i="9"/>
  <c r="AE22" i="10" s="1"/>
  <c r="S20" i="9"/>
  <c r="S22" i="10" s="1"/>
  <c r="AC20" i="9"/>
  <c r="AC22" i="10" s="1"/>
  <c r="AD20" i="9"/>
  <c r="AD22" i="10" s="1"/>
  <c r="AB20" i="9"/>
  <c r="AB22" i="10" s="1"/>
  <c r="Z20" i="9"/>
  <c r="Z22" i="10" s="1"/>
  <c r="AA20" i="9"/>
  <c r="AA22" i="10" s="1"/>
  <c r="J12" i="9" l="1"/>
  <c r="R12" s="1"/>
  <c r="H26"/>
  <c r="AJ36" i="10"/>
  <c r="AJ5" s="1"/>
  <c r="AJ20" s="1"/>
  <c r="W36"/>
  <c r="W5" s="1"/>
  <c r="W20" s="1"/>
  <c r="AI36"/>
  <c r="AI5" s="1"/>
  <c r="AI20" s="1"/>
  <c r="X36"/>
  <c r="X5" s="1"/>
  <c r="AH36"/>
  <c r="AH5" s="1"/>
  <c r="AH20" s="1"/>
  <c r="V36"/>
  <c r="V5" s="1"/>
  <c r="V20" s="1"/>
  <c r="Y36"/>
  <c r="Y5" s="1"/>
  <c r="Y20" s="1"/>
  <c r="AG36"/>
  <c r="AG5" s="1"/>
  <c r="AG20" s="1"/>
  <c r="AB36"/>
  <c r="AB5" s="1"/>
  <c r="AB20" s="1"/>
  <c r="AD36"/>
  <c r="AD5" s="1"/>
  <c r="AD20" s="1"/>
  <c r="S36"/>
  <c r="S5" s="1"/>
  <c r="S20" s="1"/>
  <c r="U36"/>
  <c r="U5" s="1"/>
  <c r="U20" s="1"/>
  <c r="AE36"/>
  <c r="AE5" s="1"/>
  <c r="AE20" s="1"/>
  <c r="AK36"/>
  <c r="AK5" s="1"/>
  <c r="AK20" s="1"/>
  <c r="T36"/>
  <c r="T5" s="1"/>
  <c r="T20" s="1"/>
  <c r="E7" i="11" s="1"/>
  <c r="I7" s="1"/>
  <c r="Z36" i="10"/>
  <c r="Z5" s="1"/>
  <c r="Z20" s="1"/>
  <c r="AF36"/>
  <c r="AF5" s="1"/>
  <c r="AF20" s="1"/>
  <c r="AA36"/>
  <c r="AA5" s="1"/>
  <c r="AA20" s="1"/>
  <c r="AC36"/>
  <c r="AC5" s="1"/>
  <c r="AC20" s="1"/>
  <c r="H27" i="9" l="1"/>
  <c r="H12"/>
  <c r="K71"/>
  <c r="F27"/>
  <c r="L27" s="1"/>
  <c r="K27"/>
  <c r="K7"/>
  <c r="D49"/>
  <c r="D48"/>
  <c r="K43" l="1"/>
  <c r="K8"/>
  <c r="K22"/>
  <c r="K9"/>
  <c r="K51"/>
  <c r="H48"/>
  <c r="J48"/>
  <c r="R48" s="1"/>
  <c r="F48"/>
  <c r="H49"/>
  <c r="J49"/>
  <c r="R49" s="1"/>
  <c r="F49"/>
  <c r="K40"/>
  <c r="D47"/>
  <c r="D8"/>
  <c r="D9"/>
  <c r="D38"/>
  <c r="D10"/>
  <c r="D11"/>
  <c r="K23" l="1"/>
  <c r="K41"/>
  <c r="F41"/>
  <c r="L41" s="1"/>
  <c r="L49"/>
  <c r="L48"/>
  <c r="K39"/>
  <c r="H11"/>
  <c r="J11"/>
  <c r="R11" s="1"/>
  <c r="F11"/>
  <c r="D39"/>
  <c r="D43"/>
  <c r="H10"/>
  <c r="J10"/>
  <c r="R10" s="1"/>
  <c r="D40"/>
  <c r="F40" s="1"/>
  <c r="J38"/>
  <c r="R38" s="1"/>
  <c r="H38"/>
  <c r="F9"/>
  <c r="J9"/>
  <c r="R9" s="1"/>
  <c r="H9"/>
  <c r="J8"/>
  <c r="R8" s="1"/>
  <c r="H8"/>
  <c r="F8"/>
  <c r="L8" s="1"/>
  <c r="D6"/>
  <c r="D7"/>
  <c r="H47"/>
  <c r="J47"/>
  <c r="R47" s="1"/>
  <c r="F47"/>
  <c r="D46"/>
  <c r="D45"/>
  <c r="D23"/>
  <c r="D22"/>
  <c r="L11" l="1"/>
  <c r="L9"/>
  <c r="H22"/>
  <c r="J22"/>
  <c r="F22"/>
  <c r="D42"/>
  <c r="D44"/>
  <c r="F23"/>
  <c r="H23"/>
  <c r="J23"/>
  <c r="R23" s="1"/>
  <c r="J7"/>
  <c r="R7" s="1"/>
  <c r="F7"/>
  <c r="H7"/>
  <c r="J6"/>
  <c r="F6"/>
  <c r="J40"/>
  <c r="R40" s="1"/>
  <c r="H40"/>
  <c r="J43"/>
  <c r="R43" s="1"/>
  <c r="F43"/>
  <c r="H43"/>
  <c r="H39"/>
  <c r="J39"/>
  <c r="R39" s="1"/>
  <c r="F39"/>
  <c r="L47"/>
  <c r="F46"/>
  <c r="H46"/>
  <c r="J46"/>
  <c r="R46" s="1"/>
  <c r="H45"/>
  <c r="J45"/>
  <c r="F45"/>
  <c r="K42" l="1"/>
  <c r="K44"/>
  <c r="K38"/>
  <c r="F38"/>
  <c r="L38" s="1"/>
  <c r="K70"/>
  <c r="L43"/>
  <c r="L40"/>
  <c r="L46"/>
  <c r="D51"/>
  <c r="J51" s="1"/>
  <c r="R51" s="1"/>
  <c r="L39"/>
  <c r="L7"/>
  <c r="D25"/>
  <c r="F25" s="1"/>
  <c r="L23"/>
  <c r="J44"/>
  <c r="R44" s="1"/>
  <c r="H44"/>
  <c r="F44"/>
  <c r="R6"/>
  <c r="R20" s="1"/>
  <c r="R22" i="10" s="1"/>
  <c r="J20" i="9"/>
  <c r="I22" i="10" s="1"/>
  <c r="J22" s="1"/>
  <c r="H42" i="9"/>
  <c r="J42"/>
  <c r="R42" s="1"/>
  <c r="F42"/>
  <c r="L22"/>
  <c r="R22"/>
  <c r="L45"/>
  <c r="R45"/>
  <c r="F26" l="1"/>
  <c r="L26" s="1"/>
  <c r="K26"/>
  <c r="L42"/>
  <c r="H51"/>
  <c r="H68" s="1"/>
  <c r="G24" i="10" s="1"/>
  <c r="H24" s="1"/>
  <c r="F51" i="9"/>
  <c r="J68"/>
  <c r="I24" i="10" s="1"/>
  <c r="J24" s="1"/>
  <c r="R68" i="9"/>
  <c r="R24" i="10" s="1"/>
  <c r="J25" i="9"/>
  <c r="R25" s="1"/>
  <c r="H25"/>
  <c r="L44"/>
  <c r="D24"/>
  <c r="L25" l="1"/>
  <c r="L51"/>
  <c r="F68"/>
  <c r="H24"/>
  <c r="H36" s="1"/>
  <c r="G23" i="10" s="1"/>
  <c r="H23" s="1"/>
  <c r="J24" i="9"/>
  <c r="F24"/>
  <c r="K10" l="1"/>
  <c r="F10"/>
  <c r="L24"/>
  <c r="F36"/>
  <c r="R24"/>
  <c r="R36" s="1"/>
  <c r="R23" i="10" s="1"/>
  <c r="J36" i="9"/>
  <c r="I23" i="10" s="1"/>
  <c r="J23" s="1"/>
  <c r="D71" i="9"/>
  <c r="F71" s="1"/>
  <c r="E24" i="10"/>
  <c r="L68" i="9"/>
  <c r="H71"/>
  <c r="J71"/>
  <c r="R71" s="1"/>
  <c r="D70"/>
  <c r="K6" l="1"/>
  <c r="H6"/>
  <c r="L10"/>
  <c r="E23" i="10"/>
  <c r="L36" i="9"/>
  <c r="F24" i="10"/>
  <c r="L24" s="1"/>
  <c r="K24"/>
  <c r="L71" i="9"/>
  <c r="D86"/>
  <c r="D72"/>
  <c r="D87"/>
  <c r="H70"/>
  <c r="J70"/>
  <c r="F70"/>
  <c r="H20" l="1"/>
  <c r="G22" i="10" s="1"/>
  <c r="H22" s="1"/>
  <c r="L6" i="9"/>
  <c r="F23" i="10"/>
  <c r="K23"/>
  <c r="L70" i="9"/>
  <c r="R70"/>
  <c r="J87"/>
  <c r="F87"/>
  <c r="H87"/>
  <c r="F72"/>
  <c r="H72"/>
  <c r="H84" s="1"/>
  <c r="G25" i="10" s="1"/>
  <c r="H25" s="1"/>
  <c r="J72" i="9"/>
  <c r="R72" s="1"/>
  <c r="R84" s="1"/>
  <c r="R25" i="10" s="1"/>
  <c r="R36" s="1"/>
  <c r="R5" s="1"/>
  <c r="R20" s="1"/>
  <c r="J86" i="9"/>
  <c r="J100" s="1"/>
  <c r="I6" i="10" s="1"/>
  <c r="J6" s="1"/>
  <c r="F86" i="9"/>
  <c r="H86"/>
  <c r="H36" i="10" l="1"/>
  <c r="G5" s="1"/>
  <c r="H5" s="1"/>
  <c r="H20" s="1"/>
  <c r="E9" i="11" s="1"/>
  <c r="E16" s="1"/>
  <c r="I16" s="1"/>
  <c r="L87" i="9"/>
  <c r="X87" s="1"/>
  <c r="L23" i="10"/>
  <c r="J84" i="9"/>
  <c r="I25" i="10" s="1"/>
  <c r="J25" s="1"/>
  <c r="J36" s="1"/>
  <c r="I5" s="1"/>
  <c r="J5" s="1"/>
  <c r="J20" s="1"/>
  <c r="E12" i="11" s="1"/>
  <c r="I12" s="1"/>
  <c r="L72" i="9"/>
  <c r="F84"/>
  <c r="E25" i="10" s="1"/>
  <c r="H100" i="9"/>
  <c r="G6" i="10" s="1"/>
  <c r="H6" s="1"/>
  <c r="F100" i="9"/>
  <c r="L86"/>
  <c r="X86" s="1"/>
  <c r="E18" i="11" l="1"/>
  <c r="I18" s="1"/>
  <c r="I9"/>
  <c r="E10"/>
  <c r="I10" s="1"/>
  <c r="E15"/>
  <c r="E17"/>
  <c r="I17" s="1"/>
  <c r="I15"/>
  <c r="X100" i="9"/>
  <c r="X6" i="10" s="1"/>
  <c r="X20" s="1"/>
  <c r="L84" i="9"/>
  <c r="F25" i="10"/>
  <c r="K25"/>
  <c r="E6"/>
  <c r="L100" i="9"/>
  <c r="E11" i="11" l="1"/>
  <c r="E14" s="1"/>
  <c r="I14" s="1"/>
  <c r="F12" i="9"/>
  <c r="K12"/>
  <c r="L25" i="10"/>
  <c r="F6"/>
  <c r="L6" s="1"/>
  <c r="E25" i="11" s="1"/>
  <c r="I25" s="1"/>
  <c r="K6" i="10"/>
  <c r="E13" i="11" l="1"/>
  <c r="I13" s="1"/>
  <c r="I11"/>
  <c r="L12" i="9"/>
  <c r="F20"/>
  <c r="E22" i="10" l="1"/>
  <c r="L20" i="9"/>
  <c r="F22" i="10" l="1"/>
  <c r="K22"/>
  <c r="L22" l="1"/>
  <c r="F36"/>
  <c r="L36" l="1"/>
  <c r="E5"/>
  <c r="K5" l="1"/>
  <c r="F5"/>
  <c r="L5" l="1"/>
  <c r="F20"/>
  <c r="E5" i="11" l="1"/>
  <c r="L20" i="10"/>
  <c r="I5" i="11" l="1"/>
  <c r="E19"/>
  <c r="E6"/>
  <c r="I6" s="1"/>
  <c r="I19" l="1"/>
  <c r="E8"/>
  <c r="E20" l="1"/>
  <c r="I8"/>
  <c r="I20" l="1"/>
  <c r="E21"/>
  <c r="I21" l="1"/>
  <c r="E22"/>
  <c r="I22" s="1"/>
  <c r="E23"/>
  <c r="I23" s="1"/>
  <c r="E26" l="1"/>
  <c r="I24"/>
  <c r="I26" s="1"/>
  <c r="I27" s="1"/>
  <c r="I28" s="1"/>
  <c r="E28" l="1"/>
</calcChain>
</file>

<file path=xl/sharedStrings.xml><?xml version="1.0" encoding="utf-8"?>
<sst xmlns="http://schemas.openxmlformats.org/spreadsheetml/2006/main" count="361" uniqueCount="200">
  <si>
    <t>01. 음고정 보수공사</t>
  </si>
  <si>
    <t>단위</t>
  </si>
  <si>
    <t>L</t>
  </si>
  <si>
    <t>매</t>
  </si>
  <si>
    <t>공사안내판</t>
  </si>
  <si>
    <t>900*1800</t>
  </si>
  <si>
    <t>개</t>
  </si>
  <si>
    <t>일반재</t>
  </si>
  <si>
    <t>각재, 대각30cm미만 12자이하</t>
  </si>
  <si>
    <t>재</t>
  </si>
  <si>
    <t>2021년 조사단가</t>
  </si>
  <si>
    <t>전통한식기와</t>
  </si>
  <si>
    <t>중와, 여와 360×300×18</t>
  </si>
  <si>
    <t>중와, 부와 300×150×18</t>
  </si>
  <si>
    <t>중와, 여막새 360×300×18</t>
  </si>
  <si>
    <t>중와, 부막새 300×150×18</t>
  </si>
  <si>
    <t>중와, 착고 325×150×18</t>
  </si>
  <si>
    <t>M</t>
  </si>
  <si>
    <t>한식철물</t>
  </si>
  <si>
    <t>와정(중)9*240</t>
  </si>
  <si>
    <t>EA</t>
  </si>
  <si>
    <t>조사단가(2016년1월)</t>
  </si>
  <si>
    <t>인</t>
  </si>
  <si>
    <t>도편수</t>
  </si>
  <si>
    <t>문화재 직종</t>
  </si>
  <si>
    <t>한식와공편수</t>
  </si>
  <si>
    <t>발생 폐기물수집운반비(상차비)</t>
  </si>
  <si>
    <t>15TON 덤프,중간처리</t>
  </si>
  <si>
    <t>TON</t>
  </si>
  <si>
    <t>한국건설폐기물수집운반</t>
  </si>
  <si>
    <t>발생폐기물 운반비</t>
  </si>
  <si>
    <t>15톤덤프 30km</t>
  </si>
  <si>
    <t>톤</t>
  </si>
  <si>
    <t>폐자재처리수수료</t>
  </si>
  <si>
    <t>건축폐자재</t>
  </si>
  <si>
    <t>부가세별도</t>
  </si>
  <si>
    <t>수  량</t>
  </si>
  <si>
    <t>단  가</t>
  </si>
  <si>
    <t>금   액</t>
  </si>
  <si>
    <t>손료요율</t>
  </si>
  <si>
    <t>손료구분</t>
  </si>
  <si>
    <t>적용구분</t>
  </si>
  <si>
    <t>합계구분</t>
  </si>
  <si>
    <t/>
  </si>
  <si>
    <t>기계경비</t>
  </si>
  <si>
    <t>식</t>
  </si>
  <si>
    <t>합  계</t>
  </si>
  <si>
    <t>비    고</t>
  </si>
  <si>
    <t>E</t>
  </si>
  <si>
    <t>단산 24호</t>
  </si>
  <si>
    <t>운반비(담프8톤)</t>
  </si>
  <si>
    <t>진흙,백토 L:20km</t>
  </si>
  <si>
    <t>M3</t>
  </si>
  <si>
    <t>단산 26호</t>
  </si>
  <si>
    <t>일반자재운반</t>
  </si>
  <si>
    <t>8톤 카고 20km</t>
  </si>
  <si>
    <t>재  료  비</t>
  </si>
  <si>
    <t>노  무  비</t>
  </si>
  <si>
    <t>경      비</t>
  </si>
  <si>
    <t>합      계</t>
  </si>
  <si>
    <t>M2</t>
  </si>
  <si>
    <t>재료비</t>
  </si>
  <si>
    <t>금    액</t>
  </si>
  <si>
    <t>일위  1호</t>
  </si>
  <si>
    <t>시스템비계(발판2열) 10m 이하</t>
  </si>
  <si>
    <t>3개월</t>
  </si>
  <si>
    <t>일위  3호</t>
  </si>
  <si>
    <t>강관비계다리</t>
  </si>
  <si>
    <t>계단식,  3개월</t>
  </si>
  <si>
    <t>일위  4호</t>
  </si>
  <si>
    <t>목조건물우장막설치</t>
  </si>
  <si>
    <t>천막지</t>
  </si>
  <si>
    <t>일위  5호</t>
  </si>
  <si>
    <t>건축물 현장정리</t>
  </si>
  <si>
    <t>목조</t>
  </si>
  <si>
    <t>일위  6호</t>
  </si>
  <si>
    <t>콘테이너가설창고</t>
  </si>
  <si>
    <t>3*2.4*2.6m, 3개월</t>
  </si>
  <si>
    <t>동</t>
  </si>
  <si>
    <t>일위  8호</t>
  </si>
  <si>
    <t>가설울타리-강관지주</t>
  </si>
  <si>
    <t>H=3.5m이하 설치및 해체</t>
  </si>
  <si>
    <t>일위 12호</t>
  </si>
  <si>
    <t>포부재해체</t>
  </si>
  <si>
    <t>익공</t>
  </si>
  <si>
    <t>일위 13호</t>
  </si>
  <si>
    <t>포부재조립</t>
  </si>
  <si>
    <t>일위 14호</t>
  </si>
  <si>
    <t>드잡이공사</t>
  </si>
  <si>
    <t>개소</t>
  </si>
  <si>
    <t>일위 15호</t>
  </si>
  <si>
    <t>목재수지처리</t>
  </si>
  <si>
    <t>0.1M3</t>
  </si>
  <si>
    <t>일위 16호</t>
  </si>
  <si>
    <t>기와해체</t>
  </si>
  <si>
    <t>처마고6.0m-9.0m이하</t>
  </si>
  <si>
    <t>일위 17호</t>
  </si>
  <si>
    <t>지붕해체 처마고6.0m-9.0m이하</t>
  </si>
  <si>
    <t>생석회다짐, 보토, 적심, 산자</t>
  </si>
  <si>
    <t>일위 18호</t>
  </si>
  <si>
    <t>기와이기</t>
  </si>
  <si>
    <t>사모정 등, 처마고6.0m-9.0m이하</t>
  </si>
  <si>
    <t>일위 19호</t>
  </si>
  <si>
    <t>마루기와이기</t>
  </si>
  <si>
    <t>풍잠바르기</t>
  </si>
  <si>
    <t>일위 20호</t>
  </si>
  <si>
    <t>보토다짐</t>
  </si>
  <si>
    <t>일위 21호</t>
  </si>
  <si>
    <t>생석회다짐</t>
  </si>
  <si>
    <t>지붕</t>
  </si>
  <si>
    <t>일위 22호</t>
  </si>
  <si>
    <t>적심설치</t>
  </si>
  <si>
    <t>처마고3.6m-6.0m이하</t>
  </si>
  <si>
    <t>일위 23호</t>
  </si>
  <si>
    <t>생석회피우기</t>
  </si>
  <si>
    <t>KG</t>
  </si>
  <si>
    <t>내       역       서</t>
  </si>
  <si>
    <t>품      명</t>
  </si>
  <si>
    <t>규      격</t>
  </si>
  <si>
    <t>비고</t>
  </si>
  <si>
    <t>운반비</t>
  </si>
  <si>
    <t>작업부산물</t>
  </si>
  <si>
    <t>관급</t>
  </si>
  <si>
    <t>외주비</t>
  </si>
  <si>
    <t>장비비</t>
  </si>
  <si>
    <t>폐기물처리비</t>
  </si>
  <si>
    <t>가설비</t>
  </si>
  <si>
    <t>잡비제외분</t>
  </si>
  <si>
    <t>사급자재대</t>
  </si>
  <si>
    <t>관급자재대</t>
  </si>
  <si>
    <t>설계비</t>
  </si>
  <si>
    <t>공사수리보고서제작</t>
  </si>
  <si>
    <t>사용자항목3</t>
  </si>
  <si>
    <t>사용자항목4</t>
  </si>
  <si>
    <t>사용자항목5</t>
  </si>
  <si>
    <t>사용자항목6</t>
  </si>
  <si>
    <t>사용자항목7</t>
  </si>
  <si>
    <t>사용자항목8</t>
  </si>
  <si>
    <t>사용자항목9</t>
  </si>
  <si>
    <t>간접재료비</t>
  </si>
  <si>
    <t>0101. 가설공사</t>
  </si>
  <si>
    <t>0102. 목공사</t>
  </si>
  <si>
    <t>0103. 지붕공사</t>
  </si>
  <si>
    <t>0104. 운반공사</t>
  </si>
  <si>
    <t>02. 폐기물처리</t>
  </si>
  <si>
    <t>집      계      표</t>
  </si>
  <si>
    <t>수 량</t>
  </si>
  <si>
    <t>합계제외</t>
  </si>
  <si>
    <t>공 사 원 가 계 산 서</t>
  </si>
  <si>
    <t xml:space="preserve">                     구  분
  비   목</t>
  </si>
  <si>
    <t>구    성   비</t>
  </si>
  <si>
    <t>금      액</t>
  </si>
  <si>
    <t>직   접   재  료  비</t>
  </si>
  <si>
    <t>A1</t>
  </si>
  <si>
    <t>간   접   재  료  비</t>
  </si>
  <si>
    <t>A2</t>
  </si>
  <si>
    <t>작업설.부산물 등(△)</t>
  </si>
  <si>
    <t>A3</t>
  </si>
  <si>
    <t>소                계</t>
  </si>
  <si>
    <t>A</t>
  </si>
  <si>
    <t>직   접   노  무  비</t>
  </si>
  <si>
    <t>B1</t>
  </si>
  <si>
    <t>간   접   노  무  비</t>
  </si>
  <si>
    <t>B2</t>
  </si>
  <si>
    <t>B</t>
  </si>
  <si>
    <t>기    계    경    비</t>
  </si>
  <si>
    <t>C4</t>
  </si>
  <si>
    <t>산  재  보   험   료</t>
  </si>
  <si>
    <t>C10</t>
  </si>
  <si>
    <t>고  용  보   험   료</t>
  </si>
  <si>
    <t>C11</t>
  </si>
  <si>
    <t>건  강  보   험   료</t>
  </si>
  <si>
    <t>C12</t>
  </si>
  <si>
    <t>연  금  보   험   료</t>
  </si>
  <si>
    <t>C13</t>
  </si>
  <si>
    <t>노인 장기 요양보험료</t>
  </si>
  <si>
    <t>C14</t>
  </si>
  <si>
    <t>퇴 직 공 제 부 금 비</t>
  </si>
  <si>
    <t>C15</t>
  </si>
  <si>
    <t>안  전   관   리  비</t>
  </si>
  <si>
    <t>C16</t>
  </si>
  <si>
    <t>기    타    경    비</t>
  </si>
  <si>
    <t>C20</t>
  </si>
  <si>
    <t>C</t>
  </si>
  <si>
    <t xml:space="preserve">         계</t>
  </si>
  <si>
    <t>X</t>
  </si>
  <si>
    <t>일  반   관   리  비</t>
  </si>
  <si>
    <t>D</t>
  </si>
  <si>
    <t>이                윤</t>
  </si>
  <si>
    <t>총       원       가</t>
  </si>
  <si>
    <t>F</t>
  </si>
  <si>
    <t>부   가   가  치  세</t>
  </si>
  <si>
    <t>H</t>
  </si>
  <si>
    <t>도    급    금    액</t>
  </si>
  <si>
    <t>Y</t>
  </si>
  <si>
    <t>폐  기  물  처 리 비</t>
  </si>
  <si>
    <t>노무비</t>
  </si>
  <si>
    <t>경  비</t>
  </si>
  <si>
    <t>순  공  사  원  가</t>
  </si>
  <si>
    <t>공사명 : 2021 경기도박물관 음고정보수공사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</si>
</sst>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000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20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b/>
      <u/>
      <sz val="9"/>
      <color rgb="FF0000FF"/>
      <name val="굴림체"/>
      <family val="3"/>
      <charset val="129"/>
    </font>
    <font>
      <b/>
      <u/>
      <sz val="9"/>
      <color rgb="FF0000FF"/>
      <name val="맑은 고딕"/>
      <family val="2"/>
      <charset val="129"/>
      <scheme val="minor"/>
    </font>
    <font>
      <sz val="8"/>
      <color rgb="FF000080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8"/>
      <color rgb="FF000000"/>
      <name val="굴림체"/>
      <family val="3"/>
      <charset val="129"/>
    </font>
    <font>
      <b/>
      <sz val="8"/>
      <color rgb="FF800000"/>
      <name val="굴림체"/>
      <family val="3"/>
      <charset val="129"/>
    </font>
    <font>
      <sz val="9"/>
      <color rgb="FF000080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4F4F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 shrinkToFit="1"/>
    </xf>
    <xf numFmtId="0" fontId="8" fillId="2" borderId="1" xfId="0" quotePrefix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right" vertical="center" shrinkToFit="1"/>
    </xf>
    <xf numFmtId="0" fontId="11" fillId="0" borderId="11" xfId="0" quotePrefix="1" applyFont="1" applyBorder="1" applyAlignment="1">
      <alignment horizontal="left" vertical="center" shrinkToFit="1"/>
    </xf>
    <xf numFmtId="0" fontId="11" fillId="0" borderId="11" xfId="0" applyFont="1" applyBorder="1" applyAlignment="1">
      <alignment horizontal="right" vertical="center" shrinkToFit="1"/>
    </xf>
    <xf numFmtId="0" fontId="11" fillId="0" borderId="12" xfId="0" quotePrefix="1" applyFont="1" applyBorder="1" applyAlignment="1">
      <alignment horizontal="left" vertical="center" shrinkToFit="1"/>
    </xf>
    <xf numFmtId="0" fontId="11" fillId="0" borderId="12" xfId="0" applyFont="1" applyBorder="1" applyAlignment="1">
      <alignment horizontal="right" vertical="center" shrinkToFit="1"/>
    </xf>
    <xf numFmtId="0" fontId="11" fillId="0" borderId="13" xfId="0" quotePrefix="1" applyFont="1" applyBorder="1" applyAlignment="1">
      <alignment horizontal="left" vertical="center" shrinkToFit="1"/>
    </xf>
    <xf numFmtId="0" fontId="11" fillId="0" borderId="13" xfId="0" applyFont="1" applyBorder="1" applyAlignment="1">
      <alignment horizontal="right" vertical="center" shrinkToFit="1"/>
    </xf>
    <xf numFmtId="0" fontId="12" fillId="2" borderId="1" xfId="0" quotePrefix="1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righ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right" vertical="center" shrinkToFit="1"/>
    </xf>
    <xf numFmtId="0" fontId="11" fillId="0" borderId="1" xfId="0" quotePrefix="1" applyFont="1" applyBorder="1" applyAlignment="1">
      <alignment horizontal="left" vertical="center" shrinkToFit="1"/>
    </xf>
    <xf numFmtId="2" fontId="7" fillId="0" borderId="1" xfId="0" applyNumberFormat="1" applyFont="1" applyBorder="1" applyAlignment="1">
      <alignment horizontal="right" vertical="center" shrinkToFit="1"/>
    </xf>
    <xf numFmtId="176" fontId="12" fillId="2" borderId="1" xfId="0" applyNumberFormat="1" applyFont="1" applyFill="1" applyBorder="1" applyAlignment="1">
      <alignment horizontal="right" vertical="center" shrinkToFit="1"/>
    </xf>
    <xf numFmtId="41" fontId="0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quotePrefix="1" applyFont="1">
      <alignment vertical="center"/>
    </xf>
    <xf numFmtId="0" fontId="5" fillId="0" borderId="0" xfId="0" applyFont="1">
      <alignment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" xfId="0" quotePrefix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2" fillId="2" borderId="1" xfId="0" quotePrefix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horizontal="left" vertical="center" shrinkToFit="1"/>
    </xf>
    <xf numFmtId="0" fontId="9" fillId="4" borderId="3" xfId="0" quotePrefix="1" applyFont="1" applyFill="1" applyBorder="1" applyAlignment="1">
      <alignment horizontal="left" vertical="center" shrinkToFit="1"/>
    </xf>
    <xf numFmtId="0" fontId="9" fillId="4" borderId="4" xfId="0" quotePrefix="1" applyFont="1" applyFill="1" applyBorder="1" applyAlignment="1">
      <alignment horizontal="left" vertical="center" shrinkToFit="1"/>
    </xf>
    <xf numFmtId="0" fontId="9" fillId="4" borderId="5" xfId="0" quotePrefix="1" applyFont="1" applyFill="1" applyBorder="1" applyAlignment="1">
      <alignment horizontal="left" vertical="center" shrinkToFit="1"/>
    </xf>
  </cellXfs>
  <cellStyles count="2">
    <cellStyle name="쉼표 [0]" xfId="1" builtinId="6"/>
    <cellStyle name="표준" xfId="0" builtinId="0"/>
  </cellStyles>
  <dxfs count="8">
    <dxf>
      <numFmt numFmtId="177" formatCode="#,###"/>
    </dxf>
    <dxf>
      <numFmt numFmtId="178" formatCode="#,##0.0#####"/>
    </dxf>
    <dxf>
      <numFmt numFmtId="177" formatCode="#,###"/>
    </dxf>
    <dxf>
      <numFmt numFmtId="178" formatCode="#,##0.0#####"/>
    </dxf>
    <dxf>
      <numFmt numFmtId="177" formatCode="#,###"/>
    </dxf>
    <dxf>
      <numFmt numFmtId="178" formatCode="#,##0.0#####"/>
    </dxf>
    <dxf>
      <numFmt numFmtId="177" formatCode="#,###"/>
    </dxf>
    <dxf>
      <numFmt numFmtId="178" formatCode="#,##0.0##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4-1%202021%20&#44221;&#44592;&#46020;%20&#48149;&#47932;&#44288;%20&#51020;&#44256;&#51221;%20&#48372;&#49688;&#44277;&#49324;%20&#49328;&#52636;&#44540;&#44144;&#49436;%20-%20&#44552;&#50529;&#51312;&#51221;&#48512;&#485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공사원가계산서"/>
      <sheetName val="수량산출서"/>
      <sheetName val="목공사 산출근거서"/>
      <sheetName val="운반공사"/>
      <sheetName val="Sheet1"/>
    </sheetNames>
    <sheetDataSet>
      <sheetData sheetId="0"/>
      <sheetData sheetId="1">
        <row r="29">
          <cell r="A29">
            <v>249.03</v>
          </cell>
          <cell r="B29">
            <v>10.26</v>
          </cell>
          <cell r="E29">
            <v>125.95</v>
          </cell>
          <cell r="H29">
            <v>1</v>
          </cell>
          <cell r="J29">
            <v>35.21</v>
          </cell>
          <cell r="K29">
            <v>1</v>
          </cell>
        </row>
        <row r="45">
          <cell r="AL45">
            <v>114.5</v>
          </cell>
        </row>
        <row r="46">
          <cell r="AL46">
            <v>111.67</v>
          </cell>
          <cell r="AM46">
            <v>11.167000000000002</v>
          </cell>
        </row>
        <row r="47">
          <cell r="AM47">
            <v>8.9336000000000002</v>
          </cell>
        </row>
        <row r="50">
          <cell r="AM50">
            <v>1905</v>
          </cell>
        </row>
        <row r="51">
          <cell r="AM51">
            <v>568</v>
          </cell>
        </row>
        <row r="52">
          <cell r="AM52">
            <v>122</v>
          </cell>
        </row>
        <row r="53">
          <cell r="AM53">
            <v>6</v>
          </cell>
        </row>
        <row r="54">
          <cell r="AM54">
            <v>6</v>
          </cell>
        </row>
        <row r="101">
          <cell r="N101">
            <v>45.379999999999995</v>
          </cell>
        </row>
      </sheetData>
      <sheetData sheetId="2">
        <row r="495">
          <cell r="AM495">
            <v>89.1</v>
          </cell>
        </row>
        <row r="496">
          <cell r="AL496">
            <v>6.7</v>
          </cell>
        </row>
        <row r="498">
          <cell r="AL498">
            <v>0.505</v>
          </cell>
        </row>
        <row r="509">
          <cell r="D509">
            <v>1.4390000000000001</v>
          </cell>
          <cell r="H509">
            <v>1.4390000000000001</v>
          </cell>
        </row>
      </sheetData>
      <sheetData sheetId="3">
        <row r="36">
          <cell r="T36">
            <v>36.745599999999996</v>
          </cell>
          <cell r="V36">
            <v>3116.2840000000001</v>
          </cell>
          <cell r="AB36">
            <v>0.24000000000000002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19D86"/>
  </sheetPr>
  <dimension ref="A1:I33"/>
  <sheetViews>
    <sheetView view="pageBreakPreview" zoomScale="115" zoomScaleNormal="100" zoomScaleSheetLayoutView="115" workbookViewId="0">
      <pane xSplit="3" ySplit="4" topLeftCell="D5" activePane="bottomRight" state="frozen"/>
      <selection activeCell="A4" sqref="A4:K29"/>
      <selection pane="topRight" activeCell="A4" sqref="A4:K29"/>
      <selection pane="bottomLeft" activeCell="A4" sqref="A4:K29"/>
      <selection pane="bottomRight" activeCell="D23" sqref="D23"/>
    </sheetView>
  </sheetViews>
  <sheetFormatPr defaultRowHeight="16.5"/>
  <cols>
    <col min="1" max="2" width="3.625" customWidth="1"/>
    <col min="3" max="3" width="17.625" style="2" customWidth="1"/>
    <col min="4" max="4" width="64.625" style="2" customWidth="1"/>
    <col min="5" max="5" width="15.625" style="4" customWidth="1"/>
    <col min="6" max="6" width="18.625" style="2" customWidth="1"/>
    <col min="7" max="9" width="9" hidden="1" customWidth="1"/>
    <col min="10" max="11" width="9" customWidth="1"/>
  </cols>
  <sheetData>
    <row r="1" spans="1:9" ht="30" customHeight="1">
      <c r="A1" s="32" t="s">
        <v>148</v>
      </c>
      <c r="B1" s="32"/>
      <c r="C1" s="32"/>
      <c r="D1" s="32"/>
      <c r="E1" s="32"/>
      <c r="F1" s="32"/>
    </row>
    <row r="2" spans="1:9" ht="16.149999999999999" customHeight="1">
      <c r="A2" s="33" t="s">
        <v>199</v>
      </c>
      <c r="B2" s="34"/>
      <c r="C2" s="34"/>
      <c r="D2" s="34"/>
      <c r="E2" s="34"/>
      <c r="F2" s="34"/>
    </row>
    <row r="3" spans="1:9" ht="12" customHeight="1">
      <c r="A3" s="35" t="s">
        <v>149</v>
      </c>
      <c r="B3" s="36"/>
      <c r="C3" s="37"/>
      <c r="D3" s="41" t="s">
        <v>150</v>
      </c>
      <c r="E3" s="41" t="s">
        <v>151</v>
      </c>
      <c r="F3" s="41" t="s">
        <v>47</v>
      </c>
    </row>
    <row r="4" spans="1:9" ht="12" customHeight="1">
      <c r="A4" s="38"/>
      <c r="B4" s="39"/>
      <c r="C4" s="40"/>
      <c r="D4" s="41"/>
      <c r="E4" s="41"/>
      <c r="F4" s="41"/>
    </row>
    <row r="5" spans="1:9" ht="16.149999999999999" customHeight="1">
      <c r="A5" s="42" t="s">
        <v>198</v>
      </c>
      <c r="B5" s="42" t="s">
        <v>61</v>
      </c>
      <c r="C5" s="16" t="s">
        <v>152</v>
      </c>
      <c r="D5" s="16" t="s">
        <v>43</v>
      </c>
      <c r="E5" s="17" t="e">
        <f>ROUNDDOWN(집계표!F20-집계표!AL20, 0)</f>
        <v>#REF!</v>
      </c>
      <c r="F5" s="16" t="s">
        <v>43</v>
      </c>
      <c r="G5" s="1" t="s">
        <v>153</v>
      </c>
      <c r="H5">
        <v>0</v>
      </c>
      <c r="I5" t="e">
        <f t="shared" ref="I5:I23" si="0">E5</f>
        <v>#REF!</v>
      </c>
    </row>
    <row r="6" spans="1:9" ht="16.149999999999999" customHeight="1">
      <c r="A6" s="45"/>
      <c r="B6" s="45"/>
      <c r="C6" s="18" t="s">
        <v>154</v>
      </c>
      <c r="D6" s="18" t="s">
        <v>43</v>
      </c>
      <c r="E6" s="19" t="e">
        <f>ROUNDDOWN(E5*H6, 0)</f>
        <v>#REF!</v>
      </c>
      <c r="F6" s="18" t="s">
        <v>43</v>
      </c>
      <c r="G6" s="1" t="s">
        <v>155</v>
      </c>
      <c r="H6">
        <v>0</v>
      </c>
      <c r="I6" t="e">
        <f t="shared" si="0"/>
        <v>#REF!</v>
      </c>
    </row>
    <row r="7" spans="1:9" ht="16.149999999999999" customHeight="1">
      <c r="A7" s="43"/>
      <c r="B7" s="43"/>
      <c r="C7" s="20" t="s">
        <v>156</v>
      </c>
      <c r="D7" s="20" t="s">
        <v>43</v>
      </c>
      <c r="E7" s="21">
        <f>집계표!T20</f>
        <v>0</v>
      </c>
      <c r="F7" s="20" t="s">
        <v>43</v>
      </c>
      <c r="G7" s="1" t="s">
        <v>157</v>
      </c>
      <c r="H7">
        <v>0</v>
      </c>
      <c r="I7">
        <f t="shared" si="0"/>
        <v>0</v>
      </c>
    </row>
    <row r="8" spans="1:9" ht="16.149999999999999" customHeight="1">
      <c r="A8" s="44"/>
      <c r="B8" s="44"/>
      <c r="C8" s="22" t="s">
        <v>158</v>
      </c>
      <c r="D8" s="22" t="s">
        <v>43</v>
      </c>
      <c r="E8" s="23" t="e">
        <f>SUM(E5:E6)-ABS(E7)</f>
        <v>#REF!</v>
      </c>
      <c r="F8" s="22" t="s">
        <v>43</v>
      </c>
      <c r="G8" s="1" t="s">
        <v>159</v>
      </c>
      <c r="H8">
        <v>0</v>
      </c>
      <c r="I8" t="e">
        <f t="shared" si="0"/>
        <v>#REF!</v>
      </c>
    </row>
    <row r="9" spans="1:9" ht="16.149999999999999" customHeight="1">
      <c r="A9" s="46"/>
      <c r="B9" s="42" t="s">
        <v>196</v>
      </c>
      <c r="C9" s="16" t="s">
        <v>160</v>
      </c>
      <c r="D9" s="16" t="s">
        <v>43</v>
      </c>
      <c r="E9" s="17" t="e">
        <f>ROUNDDOWN(집계표!H20, 0)</f>
        <v>#REF!</v>
      </c>
      <c r="F9" s="16" t="s">
        <v>43</v>
      </c>
      <c r="G9" s="1" t="s">
        <v>161</v>
      </c>
      <c r="H9">
        <v>0</v>
      </c>
      <c r="I9" t="e">
        <f t="shared" si="0"/>
        <v>#REF!</v>
      </c>
    </row>
    <row r="10" spans="1:9" ht="16.149999999999999" customHeight="1">
      <c r="A10" s="43"/>
      <c r="B10" s="43"/>
      <c r="C10" s="20" t="s">
        <v>162</v>
      </c>
      <c r="D10" s="24" t="str">
        <f>"직.노*"&amp;H10*100&amp;"%"</f>
        <v>직.노*11.9%</v>
      </c>
      <c r="E10" s="21" t="e">
        <f>ROUNDDOWN(E9*H10, 0)</f>
        <v>#REF!</v>
      </c>
      <c r="F10" s="20" t="s">
        <v>43</v>
      </c>
      <c r="G10" s="1" t="s">
        <v>163</v>
      </c>
      <c r="H10">
        <v>0.11900000000000001</v>
      </c>
      <c r="I10" t="e">
        <f t="shared" si="0"/>
        <v>#REF!</v>
      </c>
    </row>
    <row r="11" spans="1:9" ht="16.149999999999999" customHeight="1">
      <c r="A11" s="44"/>
      <c r="B11" s="44"/>
      <c r="C11" s="22" t="s">
        <v>158</v>
      </c>
      <c r="D11" s="22" t="s">
        <v>43</v>
      </c>
      <c r="E11" s="23" t="e">
        <f>SUM(E9:E10)</f>
        <v>#REF!</v>
      </c>
      <c r="F11" s="22" t="s">
        <v>43</v>
      </c>
      <c r="G11" s="1" t="s">
        <v>164</v>
      </c>
      <c r="H11">
        <v>0</v>
      </c>
      <c r="I11" t="e">
        <f t="shared" si="0"/>
        <v>#REF!</v>
      </c>
    </row>
    <row r="12" spans="1:9" ht="16.149999999999999" customHeight="1">
      <c r="A12" s="46"/>
      <c r="B12" s="42" t="s">
        <v>197</v>
      </c>
      <c r="C12" s="16" t="s">
        <v>165</v>
      </c>
      <c r="D12" s="16" t="s">
        <v>43</v>
      </c>
      <c r="E12" s="17">
        <f>ROUNDDOWN(집계표!J20, 0)</f>
        <v>0</v>
      </c>
      <c r="F12" s="16" t="s">
        <v>43</v>
      </c>
      <c r="G12" s="1" t="s">
        <v>166</v>
      </c>
      <c r="H12">
        <v>0</v>
      </c>
      <c r="I12">
        <f t="shared" si="0"/>
        <v>0</v>
      </c>
    </row>
    <row r="13" spans="1:9" ht="16.149999999999999" customHeight="1">
      <c r="A13" s="45"/>
      <c r="B13" s="45"/>
      <c r="C13" s="18" t="s">
        <v>167</v>
      </c>
      <c r="D13" s="25" t="str">
        <f>"(노)*"&amp;H13*100&amp;"%"</f>
        <v>(노)*3.7%</v>
      </c>
      <c r="E13" s="19" t="e">
        <f>TRUNC(E11*3.7%)</f>
        <v>#REF!</v>
      </c>
      <c r="F13" s="18" t="s">
        <v>43</v>
      </c>
      <c r="G13" s="1" t="s">
        <v>168</v>
      </c>
      <c r="H13">
        <v>3.7000000000000005E-2</v>
      </c>
      <c r="I13" t="e">
        <f t="shared" si="0"/>
        <v>#REF!</v>
      </c>
    </row>
    <row r="14" spans="1:9" ht="16.149999999999999" customHeight="1">
      <c r="A14" s="45"/>
      <c r="B14" s="45"/>
      <c r="C14" s="18" t="s">
        <v>169</v>
      </c>
      <c r="D14" s="25" t="str">
        <f>"(노)*"&amp;H14*100&amp;"%"</f>
        <v>(노)*0.87%</v>
      </c>
      <c r="E14" s="19" t="e">
        <f>TRUNC(E11*0.87%)</f>
        <v>#REF!</v>
      </c>
      <c r="F14" s="18" t="s">
        <v>43</v>
      </c>
      <c r="G14" s="1" t="s">
        <v>170</v>
      </c>
      <c r="H14">
        <v>8.6999999999999994E-3</v>
      </c>
      <c r="I14" t="e">
        <f t="shared" si="0"/>
        <v>#REF!</v>
      </c>
    </row>
    <row r="15" spans="1:9" ht="16.149999999999999" customHeight="1">
      <c r="A15" s="45"/>
      <c r="B15" s="45"/>
      <c r="C15" s="18" t="s">
        <v>171</v>
      </c>
      <c r="D15" s="25" t="str">
        <f>"(직.노)*"&amp;H15*100&amp;"%"</f>
        <v>(직.노)*3.43%</v>
      </c>
      <c r="E15" s="19" t="e">
        <f>TRUNC(E9*3.43%)</f>
        <v>#REF!</v>
      </c>
      <c r="F15" s="18" t="s">
        <v>43</v>
      </c>
      <c r="G15" s="1" t="s">
        <v>172</v>
      </c>
      <c r="H15">
        <v>3.4300000000000004E-2</v>
      </c>
      <c r="I15" t="e">
        <f t="shared" si="0"/>
        <v>#REF!</v>
      </c>
    </row>
    <row r="16" spans="1:9" ht="16.149999999999999" customHeight="1">
      <c r="A16" s="45"/>
      <c r="B16" s="45"/>
      <c r="C16" s="18" t="s">
        <v>173</v>
      </c>
      <c r="D16" s="25" t="str">
        <f>"(직.노)*"&amp;H16*100&amp;"%"</f>
        <v>(직.노)*4.5%</v>
      </c>
      <c r="E16" s="19" t="e">
        <f>TRUNC(E9*4.5%)</f>
        <v>#REF!</v>
      </c>
      <c r="F16" s="18" t="s">
        <v>43</v>
      </c>
      <c r="G16" s="1" t="s">
        <v>174</v>
      </c>
      <c r="H16">
        <v>4.4999999999999998E-2</v>
      </c>
      <c r="I16" t="e">
        <f t="shared" si="0"/>
        <v>#REF!</v>
      </c>
    </row>
    <row r="17" spans="1:9" ht="16.149999999999999" customHeight="1">
      <c r="A17" s="45"/>
      <c r="B17" s="45"/>
      <c r="C17" s="18" t="s">
        <v>175</v>
      </c>
      <c r="D17" s="25" t="str">
        <f>"(건강보험료)*"&amp;H17*100&amp;"%"</f>
        <v>(건강보험료)*11.52%</v>
      </c>
      <c r="E17" s="19" t="e">
        <f>TRUNC(E15*11.52%)</f>
        <v>#REF!</v>
      </c>
      <c r="F17" s="18" t="s">
        <v>43</v>
      </c>
      <c r="G17" s="1" t="s">
        <v>176</v>
      </c>
      <c r="H17">
        <v>0.1152</v>
      </c>
      <c r="I17" t="e">
        <f t="shared" si="0"/>
        <v>#REF!</v>
      </c>
    </row>
    <row r="18" spans="1:9" ht="16.149999999999999" customHeight="1">
      <c r="A18" s="45"/>
      <c r="B18" s="45"/>
      <c r="C18" s="18" t="s">
        <v>177</v>
      </c>
      <c r="D18" s="18" t="s">
        <v>43</v>
      </c>
      <c r="E18" s="19" t="e">
        <f>ROUNDDOWN((E9)*H18, 0)</f>
        <v>#REF!</v>
      </c>
      <c r="F18" s="18" t="s">
        <v>43</v>
      </c>
      <c r="G18" s="1" t="s">
        <v>178</v>
      </c>
      <c r="H18">
        <v>0</v>
      </c>
      <c r="I18" t="e">
        <f t="shared" si="0"/>
        <v>#REF!</v>
      </c>
    </row>
    <row r="19" spans="1:9" ht="16.149999999999999" customHeight="1">
      <c r="A19" s="45"/>
      <c r="B19" s="45"/>
      <c r="C19" s="18" t="s">
        <v>179</v>
      </c>
      <c r="D19" s="25" t="str">
        <f>"(재+직.노)*"&amp;H19*100&amp;"%"</f>
        <v>(재+직.노)*2.93%</v>
      </c>
      <c r="E19" s="19" t="e">
        <f>TRUNC((E5+E9)*2.93%)</f>
        <v>#REF!</v>
      </c>
      <c r="F19" s="18" t="s">
        <v>43</v>
      </c>
      <c r="G19" s="1" t="s">
        <v>180</v>
      </c>
      <c r="H19">
        <v>2.9300000000000003E-2</v>
      </c>
      <c r="I19" t="e">
        <f t="shared" si="0"/>
        <v>#REF!</v>
      </c>
    </row>
    <row r="20" spans="1:9" ht="16.149999999999999" customHeight="1">
      <c r="A20" s="43"/>
      <c r="B20" s="43"/>
      <c r="C20" s="20" t="s">
        <v>181</v>
      </c>
      <c r="D20" s="24" t="str">
        <f>"(재+노)*"&amp;H20*100&amp;"%"</f>
        <v>(재+노)*7.4%</v>
      </c>
      <c r="E20" s="19" t="e">
        <f>TRUNC((E8+E11)*7.4%)</f>
        <v>#REF!</v>
      </c>
      <c r="F20" s="20" t="s">
        <v>43</v>
      </c>
      <c r="G20" s="1" t="s">
        <v>182</v>
      </c>
      <c r="H20">
        <v>7.400000000000001E-2</v>
      </c>
      <c r="I20" t="e">
        <f t="shared" si="0"/>
        <v>#REF!</v>
      </c>
    </row>
    <row r="21" spans="1:9" ht="16.149999999999999" customHeight="1">
      <c r="A21" s="44"/>
      <c r="B21" s="44"/>
      <c r="C21" s="22" t="s">
        <v>158</v>
      </c>
      <c r="D21" s="22" t="s">
        <v>43</v>
      </c>
      <c r="E21" s="23" t="e">
        <f>SUM(E12:E20)</f>
        <v>#REF!</v>
      </c>
      <c r="F21" s="22" t="s">
        <v>43</v>
      </c>
      <c r="G21" s="1" t="s">
        <v>183</v>
      </c>
      <c r="H21">
        <v>0</v>
      </c>
      <c r="I21" t="e">
        <f t="shared" si="0"/>
        <v>#REF!</v>
      </c>
    </row>
    <row r="22" spans="1:9" ht="16.149999999999999" customHeight="1">
      <c r="A22" s="44"/>
      <c r="B22" s="49" t="s">
        <v>184</v>
      </c>
      <c r="C22" s="50"/>
      <c r="D22" s="22" t="s">
        <v>43</v>
      </c>
      <c r="E22" s="23" t="e">
        <f>E8+E11+E21</f>
        <v>#REF!</v>
      </c>
      <c r="F22" s="22" t="s">
        <v>43</v>
      </c>
      <c r="G22" s="1" t="s">
        <v>185</v>
      </c>
      <c r="H22">
        <v>0</v>
      </c>
      <c r="I22" t="e">
        <f t="shared" si="0"/>
        <v>#REF!</v>
      </c>
    </row>
    <row r="23" spans="1:9" ht="16.149999999999999" customHeight="1">
      <c r="A23" s="47" t="s">
        <v>186</v>
      </c>
      <c r="B23" s="48"/>
      <c r="C23" s="48"/>
      <c r="D23" s="26" t="str">
        <f>"(재+노+경)*"&amp;H23*100&amp;"%"</f>
        <v>(재+노+경)*6%</v>
      </c>
      <c r="E23" s="27" t="e">
        <f>TRUNC((E8+E11+E21)*6%)</f>
        <v>#REF!</v>
      </c>
      <c r="F23" s="28" t="s">
        <v>43</v>
      </c>
      <c r="G23" s="1" t="s">
        <v>187</v>
      </c>
      <c r="H23">
        <v>0.06</v>
      </c>
      <c r="I23" t="e">
        <f t="shared" si="0"/>
        <v>#REF!</v>
      </c>
    </row>
    <row r="24" spans="1:9" ht="16.149999999999999" customHeight="1">
      <c r="A24" s="47" t="s">
        <v>188</v>
      </c>
      <c r="B24" s="48"/>
      <c r="C24" s="48"/>
      <c r="D24" s="26" t="str">
        <f>"(노+경+일)*"&amp;H24*100&amp;"%"</f>
        <v>(노+경+일)*10.6%</v>
      </c>
      <c r="E24" s="27"/>
      <c r="F24" s="28" t="s">
        <v>43</v>
      </c>
      <c r="G24" s="1" t="s">
        <v>48</v>
      </c>
      <c r="H24">
        <v>0.106</v>
      </c>
      <c r="I24" t="e">
        <f>ROUNDDOWN((I11+I21+I23)*H24, 0)+908</f>
        <v>#REF!</v>
      </c>
    </row>
    <row r="25" spans="1:9" ht="16.149999999999999" customHeight="1">
      <c r="A25" s="47" t="s">
        <v>195</v>
      </c>
      <c r="B25" s="48"/>
      <c r="C25" s="48"/>
      <c r="D25" s="28" t="s">
        <v>43</v>
      </c>
      <c r="E25" s="27">
        <f>+집계표!L6</f>
        <v>0</v>
      </c>
      <c r="F25" s="28" t="s">
        <v>43</v>
      </c>
      <c r="G25" s="1" t="s">
        <v>2</v>
      </c>
      <c r="H25">
        <v>0</v>
      </c>
      <c r="I25">
        <f>E25</f>
        <v>0</v>
      </c>
    </row>
    <row r="26" spans="1:9" ht="16.149999999999999" customHeight="1">
      <c r="A26" s="47" t="s">
        <v>189</v>
      </c>
      <c r="B26" s="48"/>
      <c r="C26" s="48"/>
      <c r="D26" s="28" t="s">
        <v>43</v>
      </c>
      <c r="E26" s="27" t="e">
        <f>+E22+E23+E24+E25</f>
        <v>#REF!</v>
      </c>
      <c r="F26" s="28" t="s">
        <v>43</v>
      </c>
      <c r="G26" s="1" t="s">
        <v>190</v>
      </c>
      <c r="H26">
        <v>0</v>
      </c>
      <c r="I26" t="e">
        <f>SUM(I22:I25)+-1</f>
        <v>#REF!</v>
      </c>
    </row>
    <row r="27" spans="1:9" ht="16.149999999999999" customHeight="1">
      <c r="A27" s="47" t="s">
        <v>191</v>
      </c>
      <c r="B27" s="48"/>
      <c r="C27" s="48"/>
      <c r="D27" s="26" t="str">
        <f>"(총원가)*"&amp;H27*100&amp;"%"</f>
        <v>(총원가)*10%</v>
      </c>
      <c r="E27" s="27"/>
      <c r="F27" s="28" t="s">
        <v>43</v>
      </c>
      <c r="G27" s="1" t="s">
        <v>192</v>
      </c>
      <c r="H27">
        <v>0.1</v>
      </c>
      <c r="I27" t="e">
        <f>ROUNDDOWN((I26)*H27, 0)+1</f>
        <v>#REF!</v>
      </c>
    </row>
    <row r="28" spans="1:9" ht="16.149999999999999" customHeight="1">
      <c r="A28" s="49" t="s">
        <v>193</v>
      </c>
      <c r="B28" s="50"/>
      <c r="C28" s="50"/>
      <c r="D28" s="22" t="s">
        <v>43</v>
      </c>
      <c r="E28" s="30" t="e">
        <f>+E26+E27</f>
        <v>#REF!</v>
      </c>
      <c r="F28" s="22" t="s">
        <v>43</v>
      </c>
      <c r="G28" s="1" t="s">
        <v>194</v>
      </c>
      <c r="H28">
        <v>0</v>
      </c>
      <c r="I28" t="e">
        <f>I26+I27</f>
        <v>#REF!</v>
      </c>
    </row>
    <row r="29" spans="1:9" ht="16.149999999999999" customHeight="1">
      <c r="A29" s="47"/>
      <c r="B29" s="48"/>
      <c r="C29" s="48"/>
      <c r="D29" s="28"/>
      <c r="E29" s="27"/>
      <c r="F29" s="28"/>
      <c r="G29" s="1"/>
    </row>
    <row r="32" spans="1:9">
      <c r="E32" s="31"/>
    </row>
    <row r="33" spans="5:5">
      <c r="E33" s="31"/>
    </row>
  </sheetData>
  <mergeCells count="18">
    <mergeCell ref="B9:B11"/>
    <mergeCell ref="B12:B21"/>
    <mergeCell ref="A5:A22"/>
    <mergeCell ref="A29:C29"/>
    <mergeCell ref="B5:B8"/>
    <mergeCell ref="B22:C22"/>
    <mergeCell ref="A23:C23"/>
    <mergeCell ref="A24:C24"/>
    <mergeCell ref="A26:C26"/>
    <mergeCell ref="A27:C27"/>
    <mergeCell ref="A28:C28"/>
    <mergeCell ref="A25:C25"/>
    <mergeCell ref="A1:F1"/>
    <mergeCell ref="A2:F2"/>
    <mergeCell ref="A3:C4"/>
    <mergeCell ref="D3:D4"/>
    <mergeCell ref="E3:E4"/>
    <mergeCell ref="F3:F4"/>
  </mergeCells>
  <phoneticPr fontId="1" type="noConversion"/>
  <conditionalFormatting sqref="A26:F29 A5:F24">
    <cfRule type="containsText" dxfId="7" priority="3" stopIfTrue="1" operator="containsText" text=".">
      <formula>NOT(ISERROR(SEARCH(".",A5)))</formula>
    </cfRule>
    <cfRule type="notContainsText" dxfId="6" priority="4" stopIfTrue="1" operator="notContains" text=".">
      <formula>ISERROR(SEARCH(".",A5))</formula>
    </cfRule>
  </conditionalFormatting>
  <conditionalFormatting sqref="A25:F25">
    <cfRule type="containsText" dxfId="5" priority="1" stopIfTrue="1" operator="containsText" text=".">
      <formula>NOT(ISERROR(SEARCH(".",A25)))</formula>
    </cfRule>
    <cfRule type="notContainsText" dxfId="4" priority="2" stopIfTrue="1" operator="notContains" text=".">
      <formula>ISERROR(SEARCH(".",A25))</formula>
    </cfRule>
  </conditionalFormatting>
  <pageMargins left="0.74555149110298213" right="0.41666666666666669" top="0.4305908611817223" bottom="0.1388888888888889" header="0.3" footer="0.1388888888888889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19D86"/>
  </sheetPr>
  <dimension ref="A1:AL36"/>
  <sheetViews>
    <sheetView zoomScale="115" zoomScaleNormal="115" workbookViewId="0">
      <pane xSplit="4" ySplit="4" topLeftCell="E14" activePane="bottomRight" state="frozen"/>
      <selection activeCell="A4" sqref="A4:K29"/>
      <selection pane="topRight" activeCell="A4" sqref="A4:K29"/>
      <selection pane="bottomLeft" activeCell="A4" sqref="A4:K29"/>
      <selection pane="bottomRight" activeCell="E5" sqref="E5"/>
    </sheetView>
  </sheetViews>
  <sheetFormatPr defaultRowHeight="16.5"/>
  <cols>
    <col min="1" max="2" width="20.625" style="2" customWidth="1"/>
    <col min="3" max="3" width="4.625" style="3" customWidth="1"/>
    <col min="4" max="4" width="6.625" style="3" customWidth="1"/>
    <col min="5" max="5" width="6.625" style="4" customWidth="1"/>
    <col min="6" max="6" width="9.625" style="4" customWidth="1"/>
    <col min="7" max="7" width="6.625" style="4" customWidth="1"/>
    <col min="8" max="8" width="9.625" style="4" customWidth="1"/>
    <col min="9" max="9" width="6.625" style="4" customWidth="1"/>
    <col min="10" max="10" width="9.625" style="4" customWidth="1"/>
    <col min="11" max="11" width="6.625" style="4" customWidth="1"/>
    <col min="12" max="12" width="9.625" style="4" customWidth="1"/>
    <col min="13" max="13" width="5.625" style="2" customWidth="1"/>
    <col min="14" max="38" width="0" hidden="1" customWidth="1"/>
  </cols>
  <sheetData>
    <row r="1" spans="1:38" ht="30" customHeight="1">
      <c r="A1" s="32" t="s">
        <v>145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23.1" customHeight="1">
      <c r="A2" s="33" t="str">
        <f>+원가계산서!A2</f>
        <v>공사명 : 2021 경기도박물관 음고정보수공사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38" ht="23.1" customHeight="1">
      <c r="A3" s="51" t="s">
        <v>117</v>
      </c>
      <c r="B3" s="51" t="s">
        <v>118</v>
      </c>
      <c r="C3" s="51" t="s">
        <v>1</v>
      </c>
      <c r="D3" s="51" t="s">
        <v>146</v>
      </c>
      <c r="E3" s="51" t="s">
        <v>56</v>
      </c>
      <c r="F3" s="51"/>
      <c r="G3" s="51" t="s">
        <v>57</v>
      </c>
      <c r="H3" s="51"/>
      <c r="I3" s="51" t="s">
        <v>58</v>
      </c>
      <c r="J3" s="51"/>
      <c r="K3" s="51" t="s">
        <v>59</v>
      </c>
      <c r="L3" s="51"/>
      <c r="M3" s="51" t="s">
        <v>119</v>
      </c>
    </row>
    <row r="4" spans="1:38" ht="23.1" customHeight="1">
      <c r="A4" s="51"/>
      <c r="B4" s="51"/>
      <c r="C4" s="51"/>
      <c r="D4" s="51"/>
      <c r="E4" s="5" t="s">
        <v>37</v>
      </c>
      <c r="F4" s="5" t="s">
        <v>62</v>
      </c>
      <c r="G4" s="5" t="s">
        <v>37</v>
      </c>
      <c r="H4" s="5" t="s">
        <v>62</v>
      </c>
      <c r="I4" s="5" t="s">
        <v>37</v>
      </c>
      <c r="J4" s="5" t="s">
        <v>62</v>
      </c>
      <c r="K4" s="5" t="s">
        <v>37</v>
      </c>
      <c r="L4" s="5" t="s">
        <v>62</v>
      </c>
      <c r="M4" s="51"/>
      <c r="N4" t="s">
        <v>39</v>
      </c>
      <c r="O4" t="s">
        <v>40</v>
      </c>
      <c r="P4" t="s">
        <v>41</v>
      </c>
      <c r="Q4" t="s">
        <v>42</v>
      </c>
      <c r="R4" t="s">
        <v>44</v>
      </c>
      <c r="S4" t="s">
        <v>120</v>
      </c>
      <c r="T4" t="s">
        <v>121</v>
      </c>
      <c r="U4" t="s">
        <v>122</v>
      </c>
      <c r="V4" t="s">
        <v>123</v>
      </c>
      <c r="W4" t="s">
        <v>124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130</v>
      </c>
      <c r="AD4" t="s">
        <v>131</v>
      </c>
      <c r="AE4" t="s">
        <v>132</v>
      </c>
      <c r="AF4" t="s">
        <v>133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139</v>
      </c>
    </row>
    <row r="5" spans="1:38" ht="23.1" customHeight="1">
      <c r="A5" s="6" t="s">
        <v>0</v>
      </c>
      <c r="B5" s="7"/>
      <c r="C5" s="8" t="s">
        <v>45</v>
      </c>
      <c r="D5" s="14">
        <v>1</v>
      </c>
      <c r="E5" s="9" t="e">
        <f>F36</f>
        <v>#REF!</v>
      </c>
      <c r="F5" s="9" t="e">
        <f>D5*E5</f>
        <v>#REF!</v>
      </c>
      <c r="G5" s="9" t="e">
        <f>H36</f>
        <v>#REF!</v>
      </c>
      <c r="H5" s="9" t="e">
        <f>D5*G5</f>
        <v>#REF!</v>
      </c>
      <c r="I5" s="9">
        <f>J36</f>
        <v>0</v>
      </c>
      <c r="J5" s="9">
        <f>D5*I5</f>
        <v>0</v>
      </c>
      <c r="K5" s="9" t="e">
        <f>E5+G5+I5</f>
        <v>#REF!</v>
      </c>
      <c r="L5" s="9" t="e">
        <f>F5+H5+J5</f>
        <v>#REF!</v>
      </c>
      <c r="M5" s="7"/>
      <c r="Q5">
        <v>1</v>
      </c>
      <c r="R5">
        <f>D5*R36</f>
        <v>0</v>
      </c>
      <c r="S5">
        <f>D5*S36</f>
        <v>0</v>
      </c>
      <c r="T5">
        <f>D5*T36</f>
        <v>0</v>
      </c>
      <c r="U5">
        <f>D5*U36</f>
        <v>0</v>
      </c>
      <c r="V5">
        <f>D5*V36</f>
        <v>0</v>
      </c>
      <c r="W5">
        <f>D5*W36</f>
        <v>0</v>
      </c>
      <c r="X5">
        <f>D5*X36</f>
        <v>0</v>
      </c>
      <c r="Y5">
        <f>D5*Y36</f>
        <v>0</v>
      </c>
      <c r="Z5">
        <f>D5*Z36</f>
        <v>0</v>
      </c>
      <c r="AA5">
        <f>D5*AA36</f>
        <v>0</v>
      </c>
      <c r="AB5">
        <f>D5*AB36</f>
        <v>0</v>
      </c>
      <c r="AC5">
        <f>D5*AC36</f>
        <v>0</v>
      </c>
      <c r="AD5">
        <f>D5*AD36</f>
        <v>0</v>
      </c>
      <c r="AE5">
        <f>D5*AE36</f>
        <v>0</v>
      </c>
      <c r="AF5">
        <f>D5*AF36</f>
        <v>0</v>
      </c>
      <c r="AG5">
        <f>D5*AG36</f>
        <v>0</v>
      </c>
      <c r="AH5">
        <f>D5*AH36</f>
        <v>0</v>
      </c>
      <c r="AI5">
        <f>D5*AI36</f>
        <v>0</v>
      </c>
      <c r="AJ5">
        <f>D5*AJ36</f>
        <v>0</v>
      </c>
      <c r="AK5">
        <f>D5*AK36</f>
        <v>0</v>
      </c>
      <c r="AL5">
        <f>D5*AL36</f>
        <v>0</v>
      </c>
    </row>
    <row r="6" spans="1:38" ht="23.1" customHeight="1">
      <c r="A6" s="6" t="s">
        <v>144</v>
      </c>
      <c r="B6" s="7"/>
      <c r="C6" s="8" t="s">
        <v>45</v>
      </c>
      <c r="D6" s="14">
        <v>1</v>
      </c>
      <c r="E6" s="9">
        <f>내역서!F100</f>
        <v>0</v>
      </c>
      <c r="F6" s="9">
        <f>D6*E6</f>
        <v>0</v>
      </c>
      <c r="G6" s="9">
        <f>내역서!H100</f>
        <v>0</v>
      </c>
      <c r="H6" s="9">
        <f>D6*G6</f>
        <v>0</v>
      </c>
      <c r="I6" s="9">
        <f>내역서!J100</f>
        <v>0</v>
      </c>
      <c r="J6" s="9">
        <f>D6*I6</f>
        <v>0</v>
      </c>
      <c r="K6" s="9">
        <f>E6+G6+I6</f>
        <v>0</v>
      </c>
      <c r="L6" s="9">
        <f>F6+H6+J6</f>
        <v>0</v>
      </c>
      <c r="M6" s="6" t="s">
        <v>147</v>
      </c>
      <c r="R6">
        <f>D6*내역서!R100</f>
        <v>0</v>
      </c>
      <c r="S6">
        <f>D6*내역서!S100</f>
        <v>0</v>
      </c>
      <c r="T6">
        <f>D6*내역서!T100</f>
        <v>0</v>
      </c>
      <c r="U6">
        <f>D6*내역서!U100</f>
        <v>0</v>
      </c>
      <c r="V6">
        <f>D6*내역서!V100</f>
        <v>0</v>
      </c>
      <c r="W6">
        <f>D6*내역서!W100</f>
        <v>0</v>
      </c>
      <c r="X6">
        <f>D6*내역서!X100</f>
        <v>0</v>
      </c>
      <c r="Y6">
        <f>D6*내역서!Y100</f>
        <v>0</v>
      </c>
      <c r="Z6">
        <f>D6*내역서!Z100</f>
        <v>0</v>
      </c>
      <c r="AA6">
        <f>D6*내역서!AA100</f>
        <v>0</v>
      </c>
      <c r="AB6">
        <f>D6*내역서!AB100</f>
        <v>0</v>
      </c>
      <c r="AC6">
        <f>D6*내역서!AC100</f>
        <v>0</v>
      </c>
      <c r="AD6">
        <f>D6*내역서!AD100</f>
        <v>0</v>
      </c>
      <c r="AE6">
        <f>D6*내역서!AE100</f>
        <v>0</v>
      </c>
      <c r="AF6">
        <f>D6*내역서!AF100</f>
        <v>0</v>
      </c>
      <c r="AG6">
        <f>D6*내역서!AG100</f>
        <v>0</v>
      </c>
      <c r="AH6">
        <f>D6*내역서!AH100</f>
        <v>0</v>
      </c>
      <c r="AI6">
        <f>D6*내역서!AI100</f>
        <v>0</v>
      </c>
      <c r="AJ6">
        <f>D6*내역서!AJ100</f>
        <v>0</v>
      </c>
      <c r="AK6">
        <f>D6*내역서!AK100</f>
        <v>0</v>
      </c>
      <c r="AL6">
        <f>D6*내역서!AL100</f>
        <v>0</v>
      </c>
    </row>
    <row r="7" spans="1:38" ht="23.1" customHeight="1">
      <c r="A7" s="7"/>
      <c r="B7" s="7"/>
      <c r="C7" s="14"/>
      <c r="D7" s="14"/>
      <c r="E7" s="9"/>
      <c r="F7" s="9"/>
      <c r="G7" s="9"/>
      <c r="H7" s="9"/>
      <c r="I7" s="9"/>
      <c r="J7" s="9"/>
      <c r="K7" s="9"/>
      <c r="L7" s="9"/>
      <c r="M7" s="7"/>
    </row>
    <row r="8" spans="1:38" ht="23.1" customHeight="1">
      <c r="A8" s="7"/>
      <c r="B8" s="7"/>
      <c r="C8" s="14"/>
      <c r="D8" s="14"/>
      <c r="E8" s="9"/>
      <c r="F8" s="9"/>
      <c r="G8" s="9"/>
      <c r="H8" s="9"/>
      <c r="I8" s="9"/>
      <c r="J8" s="9"/>
      <c r="K8" s="9"/>
      <c r="L8" s="9"/>
      <c r="M8" s="7"/>
    </row>
    <row r="9" spans="1:38" ht="23.1" customHeight="1">
      <c r="A9" s="7"/>
      <c r="B9" s="7"/>
      <c r="C9" s="14"/>
      <c r="D9" s="14"/>
      <c r="E9" s="9"/>
      <c r="F9" s="9"/>
      <c r="G9" s="9"/>
      <c r="H9" s="9"/>
      <c r="I9" s="9"/>
      <c r="J9" s="9"/>
      <c r="K9" s="9"/>
      <c r="L9" s="9"/>
      <c r="M9" s="7"/>
    </row>
    <row r="10" spans="1:38" ht="23.1" customHeight="1">
      <c r="A10" s="7"/>
      <c r="B10" s="7"/>
      <c r="C10" s="14"/>
      <c r="D10" s="14"/>
      <c r="E10" s="9"/>
      <c r="F10" s="9"/>
      <c r="G10" s="9"/>
      <c r="H10" s="9"/>
      <c r="I10" s="9"/>
      <c r="J10" s="9"/>
      <c r="K10" s="9"/>
      <c r="L10" s="9"/>
      <c r="M10" s="7"/>
    </row>
    <row r="11" spans="1:38" ht="23.1" customHeight="1">
      <c r="A11" s="7"/>
      <c r="B11" s="7"/>
      <c r="C11" s="14"/>
      <c r="D11" s="14"/>
      <c r="E11" s="9"/>
      <c r="F11" s="9"/>
      <c r="G11" s="9"/>
      <c r="H11" s="9"/>
      <c r="I11" s="9"/>
      <c r="J11" s="9"/>
      <c r="K11" s="9"/>
      <c r="L11" s="9"/>
      <c r="M11" s="7"/>
    </row>
    <row r="12" spans="1:38" ht="23.1" customHeight="1">
      <c r="A12" s="7"/>
      <c r="B12" s="7"/>
      <c r="C12" s="14"/>
      <c r="D12" s="14"/>
      <c r="E12" s="9"/>
      <c r="F12" s="9"/>
      <c r="G12" s="9"/>
      <c r="H12" s="9"/>
      <c r="I12" s="9"/>
      <c r="J12" s="9"/>
      <c r="K12" s="9"/>
      <c r="L12" s="9"/>
      <c r="M12" s="7"/>
    </row>
    <row r="13" spans="1:38" ht="23.1" customHeight="1">
      <c r="A13" s="7"/>
      <c r="B13" s="7"/>
      <c r="C13" s="14"/>
      <c r="D13" s="14"/>
      <c r="E13" s="9"/>
      <c r="F13" s="9"/>
      <c r="G13" s="9"/>
      <c r="H13" s="9"/>
      <c r="I13" s="9"/>
      <c r="J13" s="9"/>
      <c r="K13" s="9"/>
      <c r="L13" s="9"/>
      <c r="M13" s="7"/>
    </row>
    <row r="14" spans="1:38" ht="23.1" customHeight="1">
      <c r="A14" s="7"/>
      <c r="B14" s="7"/>
      <c r="C14" s="14"/>
      <c r="D14" s="14"/>
      <c r="E14" s="9"/>
      <c r="F14" s="9"/>
      <c r="G14" s="9"/>
      <c r="H14" s="9"/>
      <c r="I14" s="9"/>
      <c r="J14" s="9"/>
      <c r="K14" s="9"/>
      <c r="L14" s="9"/>
      <c r="M14" s="7"/>
    </row>
    <row r="15" spans="1:38" ht="23.1" customHeight="1">
      <c r="A15" s="7"/>
      <c r="B15" s="7"/>
      <c r="C15" s="14"/>
      <c r="D15" s="14"/>
      <c r="E15" s="9"/>
      <c r="F15" s="9"/>
      <c r="G15" s="9"/>
      <c r="H15" s="9"/>
      <c r="I15" s="9"/>
      <c r="J15" s="9"/>
      <c r="K15" s="9"/>
      <c r="L15" s="9"/>
      <c r="M15" s="7"/>
    </row>
    <row r="16" spans="1:38" ht="23.1" customHeight="1">
      <c r="A16" s="7"/>
      <c r="B16" s="7"/>
      <c r="C16" s="14"/>
      <c r="D16" s="14"/>
      <c r="E16" s="9"/>
      <c r="F16" s="9"/>
      <c r="G16" s="9"/>
      <c r="H16" s="9"/>
      <c r="I16" s="9"/>
      <c r="J16" s="9"/>
      <c r="K16" s="9"/>
      <c r="L16" s="9"/>
      <c r="M16" s="7"/>
    </row>
    <row r="17" spans="1:38" ht="23.1" customHeight="1">
      <c r="A17" s="7"/>
      <c r="B17" s="7"/>
      <c r="C17" s="14"/>
      <c r="D17" s="14"/>
      <c r="E17" s="9"/>
      <c r="F17" s="9"/>
      <c r="G17" s="9"/>
      <c r="H17" s="9"/>
      <c r="I17" s="9"/>
      <c r="J17" s="9"/>
      <c r="K17" s="9"/>
      <c r="L17" s="9"/>
      <c r="M17" s="7"/>
    </row>
    <row r="18" spans="1:38" ht="23.1" customHeight="1">
      <c r="A18" s="7"/>
      <c r="B18" s="7"/>
      <c r="C18" s="14"/>
      <c r="D18" s="14"/>
      <c r="E18" s="9"/>
      <c r="F18" s="9"/>
      <c r="G18" s="9"/>
      <c r="H18" s="9"/>
      <c r="I18" s="9"/>
      <c r="J18" s="9"/>
      <c r="K18" s="9"/>
      <c r="L18" s="9"/>
      <c r="M18" s="7"/>
    </row>
    <row r="19" spans="1:38" ht="23.1" customHeight="1">
      <c r="A19" s="7"/>
      <c r="B19" s="7"/>
      <c r="C19" s="14"/>
      <c r="D19" s="14"/>
      <c r="E19" s="9"/>
      <c r="F19" s="9"/>
      <c r="G19" s="9"/>
      <c r="H19" s="9"/>
      <c r="I19" s="9"/>
      <c r="J19" s="9"/>
      <c r="K19" s="9"/>
      <c r="L19" s="9"/>
      <c r="M19" s="7"/>
    </row>
    <row r="20" spans="1:38" ht="23.1" customHeight="1">
      <c r="A20" s="10" t="s">
        <v>46</v>
      </c>
      <c r="B20" s="11"/>
      <c r="C20" s="12"/>
      <c r="D20" s="12"/>
      <c r="E20" s="13"/>
      <c r="F20" s="13" t="e">
        <f>SUMIF(Q5:Q6, "1", F5:F6)</f>
        <v>#REF!</v>
      </c>
      <c r="G20" s="13"/>
      <c r="H20" s="13" t="e">
        <f>SUMIF(Q5:Q6, "1", H5:H6)</f>
        <v>#REF!</v>
      </c>
      <c r="I20" s="13"/>
      <c r="J20" s="13">
        <f>SUMIF(Q5:Q6, "1", J5:J6)</f>
        <v>0</v>
      </c>
      <c r="K20" s="13"/>
      <c r="L20" s="13" t="e">
        <f>F20+H20+J20</f>
        <v>#REF!</v>
      </c>
      <c r="M20" s="11"/>
      <c r="R20">
        <f t="shared" ref="R20:AL20" si="0">SUM(R5:R6)</f>
        <v>0</v>
      </c>
      <c r="S20">
        <f t="shared" si="0"/>
        <v>0</v>
      </c>
      <c r="T20">
        <f t="shared" si="0"/>
        <v>0</v>
      </c>
      <c r="U20">
        <f t="shared" si="0"/>
        <v>0</v>
      </c>
      <c r="V20">
        <f t="shared" si="0"/>
        <v>0</v>
      </c>
      <c r="W20">
        <f t="shared" si="0"/>
        <v>0</v>
      </c>
      <c r="X20">
        <f t="shared" si="0"/>
        <v>0</v>
      </c>
      <c r="Y20">
        <f t="shared" si="0"/>
        <v>0</v>
      </c>
      <c r="Z20">
        <f t="shared" si="0"/>
        <v>0</v>
      </c>
      <c r="AA20">
        <f t="shared" si="0"/>
        <v>0</v>
      </c>
      <c r="AB20">
        <f t="shared" si="0"/>
        <v>0</v>
      </c>
      <c r="AC20">
        <f t="shared" si="0"/>
        <v>0</v>
      </c>
      <c r="AD20">
        <f t="shared" si="0"/>
        <v>0</v>
      </c>
      <c r="AE20">
        <f t="shared" si="0"/>
        <v>0</v>
      </c>
      <c r="AF20">
        <f t="shared" si="0"/>
        <v>0</v>
      </c>
      <c r="AG20">
        <f t="shared" si="0"/>
        <v>0</v>
      </c>
      <c r="AH20">
        <f t="shared" si="0"/>
        <v>0</v>
      </c>
      <c r="AI20">
        <f t="shared" si="0"/>
        <v>0</v>
      </c>
      <c r="AJ20">
        <f t="shared" si="0"/>
        <v>0</v>
      </c>
      <c r="AK20">
        <f t="shared" si="0"/>
        <v>0</v>
      </c>
      <c r="AL20">
        <f t="shared" si="0"/>
        <v>0</v>
      </c>
    </row>
    <row r="21" spans="1:38" ht="23.1" customHeight="1">
      <c r="A21" s="6" t="s">
        <v>0</v>
      </c>
      <c r="B21" s="7"/>
      <c r="C21" s="14"/>
      <c r="D21" s="14"/>
      <c r="E21" s="9"/>
      <c r="F21" s="9"/>
      <c r="G21" s="9"/>
      <c r="H21" s="9"/>
      <c r="I21" s="9"/>
      <c r="J21" s="9"/>
      <c r="K21" s="9"/>
      <c r="L21" s="9"/>
      <c r="M21" s="7"/>
    </row>
    <row r="22" spans="1:38" ht="23.1" customHeight="1">
      <c r="A22" s="6" t="s">
        <v>140</v>
      </c>
      <c r="B22" s="6" t="s">
        <v>43</v>
      </c>
      <c r="C22" s="8" t="s">
        <v>45</v>
      </c>
      <c r="D22" s="14">
        <v>1</v>
      </c>
      <c r="E22" s="9">
        <f>내역서!F20</f>
        <v>0</v>
      </c>
      <c r="F22" s="9">
        <f>D22*E22</f>
        <v>0</v>
      </c>
      <c r="G22" s="9">
        <f>내역서!H20</f>
        <v>0</v>
      </c>
      <c r="H22" s="9">
        <f>D22*G22</f>
        <v>0</v>
      </c>
      <c r="I22" s="9">
        <f>내역서!J20</f>
        <v>0</v>
      </c>
      <c r="J22" s="9">
        <f>D22*I22</f>
        <v>0</v>
      </c>
      <c r="K22" s="9">
        <f t="shared" ref="K22:L25" si="1">E22+G22+I22</f>
        <v>0</v>
      </c>
      <c r="L22" s="9">
        <f t="shared" si="1"/>
        <v>0</v>
      </c>
      <c r="M22" s="7"/>
      <c r="Q22">
        <v>1</v>
      </c>
      <c r="R22">
        <f>D22*내역서!R20</f>
        <v>0</v>
      </c>
      <c r="S22">
        <f>D22*내역서!S20</f>
        <v>0</v>
      </c>
      <c r="T22">
        <f>D22*내역서!T20</f>
        <v>0</v>
      </c>
      <c r="U22">
        <f>D22*내역서!U20</f>
        <v>0</v>
      </c>
      <c r="V22">
        <f>D22*내역서!V20</f>
        <v>0</v>
      </c>
      <c r="W22">
        <f>D22*내역서!W20</f>
        <v>0</v>
      </c>
      <c r="X22">
        <f>D22*내역서!X20</f>
        <v>0</v>
      </c>
      <c r="Y22">
        <f>D22*내역서!Y20</f>
        <v>0</v>
      </c>
      <c r="Z22">
        <f>D22*내역서!Z20</f>
        <v>0</v>
      </c>
      <c r="AA22">
        <f>D22*내역서!AA20</f>
        <v>0</v>
      </c>
      <c r="AB22">
        <f>D22*내역서!AB20</f>
        <v>0</v>
      </c>
      <c r="AC22">
        <f>D22*내역서!AC20</f>
        <v>0</v>
      </c>
      <c r="AD22">
        <f>D22*내역서!AD20</f>
        <v>0</v>
      </c>
      <c r="AE22">
        <f>D22*내역서!AE20</f>
        <v>0</v>
      </c>
      <c r="AF22">
        <f>D22*내역서!AF20</f>
        <v>0</v>
      </c>
      <c r="AG22">
        <f>D22*내역서!AG20</f>
        <v>0</v>
      </c>
      <c r="AH22">
        <f>D22*내역서!AH20</f>
        <v>0</v>
      </c>
      <c r="AI22">
        <f>D22*내역서!AI20</f>
        <v>0</v>
      </c>
      <c r="AJ22">
        <f>D22*내역서!AJ20</f>
        <v>0</v>
      </c>
      <c r="AK22">
        <f>D22*내역서!AK20</f>
        <v>0</v>
      </c>
      <c r="AL22">
        <f>D22*내역서!AL20</f>
        <v>0</v>
      </c>
    </row>
    <row r="23" spans="1:38" ht="23.1" customHeight="1">
      <c r="A23" s="6" t="s">
        <v>141</v>
      </c>
      <c r="B23" s="7"/>
      <c r="C23" s="8" t="s">
        <v>45</v>
      </c>
      <c r="D23" s="14">
        <v>1</v>
      </c>
      <c r="E23" s="9">
        <f>내역서!F36</f>
        <v>0</v>
      </c>
      <c r="F23" s="9">
        <f>D23*E23</f>
        <v>0</v>
      </c>
      <c r="G23" s="9">
        <f>내역서!H36</f>
        <v>0</v>
      </c>
      <c r="H23" s="9">
        <f>D23*G23</f>
        <v>0</v>
      </c>
      <c r="I23" s="9">
        <f>내역서!J36</f>
        <v>0</v>
      </c>
      <c r="J23" s="9">
        <f>D23*I23</f>
        <v>0</v>
      </c>
      <c r="K23" s="9">
        <f t="shared" si="1"/>
        <v>0</v>
      </c>
      <c r="L23" s="9">
        <f t="shared" si="1"/>
        <v>0</v>
      </c>
      <c r="M23" s="7"/>
      <c r="Q23">
        <v>1</v>
      </c>
      <c r="R23">
        <f>D23*내역서!R36</f>
        <v>0</v>
      </c>
      <c r="S23">
        <f>D23*내역서!S36</f>
        <v>0</v>
      </c>
      <c r="T23">
        <f>D23*내역서!T36</f>
        <v>0</v>
      </c>
      <c r="U23">
        <f>D23*내역서!U36</f>
        <v>0</v>
      </c>
      <c r="V23">
        <f>D23*내역서!V36</f>
        <v>0</v>
      </c>
      <c r="W23">
        <f>D23*내역서!W36</f>
        <v>0</v>
      </c>
      <c r="X23">
        <f>D23*내역서!X36</f>
        <v>0</v>
      </c>
      <c r="Y23">
        <f>D23*내역서!Y36</f>
        <v>0</v>
      </c>
      <c r="Z23">
        <f>D23*내역서!Z36</f>
        <v>0</v>
      </c>
      <c r="AA23">
        <f>D23*내역서!AA36</f>
        <v>0</v>
      </c>
      <c r="AB23">
        <f>D23*내역서!AB36</f>
        <v>0</v>
      </c>
      <c r="AC23">
        <f>D23*내역서!AC36</f>
        <v>0</v>
      </c>
      <c r="AD23">
        <f>D23*내역서!AD36</f>
        <v>0</v>
      </c>
      <c r="AE23">
        <f>D23*내역서!AE36</f>
        <v>0</v>
      </c>
      <c r="AF23">
        <f>D23*내역서!AF36</f>
        <v>0</v>
      </c>
      <c r="AG23">
        <f>D23*내역서!AG36</f>
        <v>0</v>
      </c>
      <c r="AH23">
        <f>D23*내역서!AH36</f>
        <v>0</v>
      </c>
      <c r="AI23">
        <f>D23*내역서!AI36</f>
        <v>0</v>
      </c>
      <c r="AJ23">
        <f>D23*내역서!AJ36</f>
        <v>0</v>
      </c>
      <c r="AK23">
        <f>D23*내역서!AK36</f>
        <v>0</v>
      </c>
      <c r="AL23">
        <f>D23*내역서!AL36</f>
        <v>0</v>
      </c>
    </row>
    <row r="24" spans="1:38" ht="23.1" customHeight="1">
      <c r="A24" s="6" t="s">
        <v>142</v>
      </c>
      <c r="B24" s="7"/>
      <c r="C24" s="8" t="s">
        <v>45</v>
      </c>
      <c r="D24" s="14">
        <v>1</v>
      </c>
      <c r="E24" s="9">
        <f>내역서!F68</f>
        <v>0</v>
      </c>
      <c r="F24" s="9">
        <f>D24*E24</f>
        <v>0</v>
      </c>
      <c r="G24" s="9">
        <f>내역서!H68</f>
        <v>0</v>
      </c>
      <c r="H24" s="9">
        <f>D24*G24</f>
        <v>0</v>
      </c>
      <c r="I24" s="9">
        <f>내역서!J68</f>
        <v>0</v>
      </c>
      <c r="J24" s="9">
        <f>D24*I24</f>
        <v>0</v>
      </c>
      <c r="K24" s="9">
        <f t="shared" si="1"/>
        <v>0</v>
      </c>
      <c r="L24" s="9">
        <f t="shared" si="1"/>
        <v>0</v>
      </c>
      <c r="M24" s="7"/>
      <c r="Q24">
        <v>1</v>
      </c>
      <c r="R24">
        <f>D24*내역서!R68</f>
        <v>0</v>
      </c>
      <c r="S24">
        <f>D24*내역서!S68</f>
        <v>0</v>
      </c>
      <c r="T24">
        <f>D24*내역서!T68</f>
        <v>0</v>
      </c>
      <c r="U24">
        <f>D24*내역서!U68</f>
        <v>0</v>
      </c>
      <c r="V24">
        <f>D24*내역서!V68</f>
        <v>0</v>
      </c>
      <c r="W24">
        <f>D24*내역서!W68</f>
        <v>0</v>
      </c>
      <c r="X24">
        <f>D24*내역서!X68</f>
        <v>0</v>
      </c>
      <c r="Y24">
        <f>D24*내역서!Y68</f>
        <v>0</v>
      </c>
      <c r="Z24">
        <f>D24*내역서!Z68</f>
        <v>0</v>
      </c>
      <c r="AA24">
        <f>D24*내역서!AA68</f>
        <v>0</v>
      </c>
      <c r="AB24">
        <f>D24*내역서!AB68</f>
        <v>0</v>
      </c>
      <c r="AC24">
        <f>D24*내역서!AC68</f>
        <v>0</v>
      </c>
      <c r="AD24">
        <f>D24*내역서!AD68</f>
        <v>0</v>
      </c>
      <c r="AE24">
        <f>D24*내역서!AE68</f>
        <v>0</v>
      </c>
      <c r="AF24">
        <f>D24*내역서!AF68</f>
        <v>0</v>
      </c>
      <c r="AG24">
        <f>D24*내역서!AG68</f>
        <v>0</v>
      </c>
      <c r="AH24">
        <f>D24*내역서!AH68</f>
        <v>0</v>
      </c>
      <c r="AI24">
        <f>D24*내역서!AI68</f>
        <v>0</v>
      </c>
      <c r="AJ24">
        <f>D24*내역서!AJ68</f>
        <v>0</v>
      </c>
      <c r="AK24">
        <f>D24*내역서!AK68</f>
        <v>0</v>
      </c>
      <c r="AL24">
        <f>D24*내역서!AL68</f>
        <v>0</v>
      </c>
    </row>
    <row r="25" spans="1:38" ht="23.1" customHeight="1">
      <c r="A25" s="6" t="s">
        <v>143</v>
      </c>
      <c r="B25" s="7"/>
      <c r="C25" s="8" t="s">
        <v>45</v>
      </c>
      <c r="D25" s="14">
        <v>1</v>
      </c>
      <c r="E25" s="9" t="e">
        <f>내역서!F84</f>
        <v>#REF!</v>
      </c>
      <c r="F25" s="9" t="e">
        <f>D25*E25</f>
        <v>#REF!</v>
      </c>
      <c r="G25" s="9" t="e">
        <f>내역서!H84</f>
        <v>#REF!</v>
      </c>
      <c r="H25" s="9" t="e">
        <f>D25*G25</f>
        <v>#REF!</v>
      </c>
      <c r="I25" s="9">
        <f>내역서!J84</f>
        <v>0</v>
      </c>
      <c r="J25" s="9">
        <f>D25*I25</f>
        <v>0</v>
      </c>
      <c r="K25" s="9" t="e">
        <f t="shared" si="1"/>
        <v>#REF!</v>
      </c>
      <c r="L25" s="9" t="e">
        <f t="shared" si="1"/>
        <v>#REF!</v>
      </c>
      <c r="M25" s="7"/>
      <c r="Q25">
        <v>1</v>
      </c>
      <c r="R25">
        <f>D25*내역서!R84</f>
        <v>0</v>
      </c>
      <c r="S25">
        <f>D25*내역서!S84</f>
        <v>0</v>
      </c>
      <c r="T25">
        <f>D25*내역서!T84</f>
        <v>0</v>
      </c>
      <c r="U25">
        <f>D25*내역서!U84</f>
        <v>0</v>
      </c>
      <c r="V25">
        <f>D25*내역서!V84</f>
        <v>0</v>
      </c>
      <c r="W25">
        <f>D25*내역서!W84</f>
        <v>0</v>
      </c>
      <c r="X25">
        <f>D25*내역서!X84</f>
        <v>0</v>
      </c>
      <c r="Y25">
        <f>D25*내역서!Y84</f>
        <v>0</v>
      </c>
      <c r="Z25">
        <f>D25*내역서!Z84</f>
        <v>0</v>
      </c>
      <c r="AA25">
        <f>D25*내역서!AA84</f>
        <v>0</v>
      </c>
      <c r="AB25">
        <f>D25*내역서!AB84</f>
        <v>0</v>
      </c>
      <c r="AC25">
        <f>D25*내역서!AC84</f>
        <v>0</v>
      </c>
      <c r="AD25">
        <f>D25*내역서!AD84</f>
        <v>0</v>
      </c>
      <c r="AE25">
        <f>D25*내역서!AE84</f>
        <v>0</v>
      </c>
      <c r="AF25">
        <f>D25*내역서!AF84</f>
        <v>0</v>
      </c>
      <c r="AG25">
        <f>D25*내역서!AG84</f>
        <v>0</v>
      </c>
      <c r="AH25">
        <f>D25*내역서!AH84</f>
        <v>0</v>
      </c>
      <c r="AI25">
        <f>D25*내역서!AI84</f>
        <v>0</v>
      </c>
      <c r="AJ25">
        <f>D25*내역서!AJ84</f>
        <v>0</v>
      </c>
      <c r="AK25">
        <f>D25*내역서!AK84</f>
        <v>0</v>
      </c>
      <c r="AL25">
        <f>D25*내역서!AL84</f>
        <v>0</v>
      </c>
    </row>
    <row r="26" spans="1:38" ht="23.1" customHeight="1">
      <c r="A26" s="7"/>
      <c r="B26" s="7"/>
      <c r="C26" s="14"/>
      <c r="D26" s="14"/>
      <c r="E26" s="9"/>
      <c r="F26" s="9"/>
      <c r="G26" s="9"/>
      <c r="H26" s="9"/>
      <c r="I26" s="9"/>
      <c r="J26" s="9"/>
      <c r="K26" s="9"/>
      <c r="L26" s="9"/>
      <c r="M26" s="7"/>
    </row>
    <row r="27" spans="1:38" ht="23.1" customHeight="1">
      <c r="A27" s="7"/>
      <c r="B27" s="7"/>
      <c r="C27" s="14"/>
      <c r="D27" s="14"/>
      <c r="E27" s="9"/>
      <c r="F27" s="9"/>
      <c r="G27" s="9"/>
      <c r="H27" s="9"/>
      <c r="I27" s="9"/>
      <c r="J27" s="9"/>
      <c r="K27" s="9"/>
      <c r="L27" s="9"/>
      <c r="M27" s="7"/>
    </row>
    <row r="28" spans="1:38" ht="23.1" customHeight="1">
      <c r="A28" s="7"/>
      <c r="B28" s="7"/>
      <c r="C28" s="14"/>
      <c r="D28" s="14"/>
      <c r="E28" s="9"/>
      <c r="F28" s="9"/>
      <c r="G28" s="9"/>
      <c r="H28" s="9"/>
      <c r="I28" s="9"/>
      <c r="J28" s="9"/>
      <c r="K28" s="9"/>
      <c r="L28" s="9"/>
      <c r="M28" s="7"/>
    </row>
    <row r="29" spans="1:38" ht="23.1" customHeight="1">
      <c r="A29" s="7"/>
      <c r="B29" s="7"/>
      <c r="C29" s="14"/>
      <c r="D29" s="14"/>
      <c r="E29" s="9"/>
      <c r="F29" s="9"/>
      <c r="G29" s="9"/>
      <c r="H29" s="9"/>
      <c r="I29" s="9"/>
      <c r="J29" s="9"/>
      <c r="K29" s="9"/>
      <c r="L29" s="9"/>
      <c r="M29" s="7"/>
    </row>
    <row r="30" spans="1:38" ht="23.1" customHeight="1">
      <c r="A30" s="7"/>
      <c r="B30" s="7"/>
      <c r="C30" s="14"/>
      <c r="D30" s="14"/>
      <c r="E30" s="9"/>
      <c r="F30" s="9"/>
      <c r="G30" s="9"/>
      <c r="H30" s="9"/>
      <c r="I30" s="9"/>
      <c r="J30" s="9"/>
      <c r="K30" s="9"/>
      <c r="L30" s="9"/>
      <c r="M30" s="7"/>
    </row>
    <row r="31" spans="1:38" ht="23.1" customHeight="1">
      <c r="A31" s="7"/>
      <c r="B31" s="7"/>
      <c r="C31" s="14"/>
      <c r="D31" s="14"/>
      <c r="E31" s="9"/>
      <c r="F31" s="9"/>
      <c r="G31" s="9"/>
      <c r="H31" s="9"/>
      <c r="I31" s="9"/>
      <c r="J31" s="9"/>
      <c r="K31" s="9"/>
      <c r="L31" s="9"/>
      <c r="M31" s="7"/>
    </row>
    <row r="32" spans="1:38" ht="23.1" customHeight="1">
      <c r="A32" s="7"/>
      <c r="B32" s="7"/>
      <c r="C32" s="14"/>
      <c r="D32" s="14"/>
      <c r="E32" s="9"/>
      <c r="F32" s="9"/>
      <c r="G32" s="9"/>
      <c r="H32" s="9"/>
      <c r="I32" s="9"/>
      <c r="J32" s="9"/>
      <c r="K32" s="9"/>
      <c r="L32" s="9"/>
      <c r="M32" s="7"/>
    </row>
    <row r="33" spans="1:38" ht="23.1" customHeight="1">
      <c r="A33" s="7"/>
      <c r="B33" s="7"/>
      <c r="C33" s="14"/>
      <c r="D33" s="14"/>
      <c r="E33" s="9"/>
      <c r="F33" s="9"/>
      <c r="G33" s="9"/>
      <c r="H33" s="9"/>
      <c r="I33" s="9"/>
      <c r="J33" s="9"/>
      <c r="K33" s="9"/>
      <c r="L33" s="9"/>
      <c r="M33" s="7"/>
    </row>
    <row r="34" spans="1:38" ht="23.1" customHeight="1">
      <c r="A34" s="7"/>
      <c r="B34" s="7"/>
      <c r="C34" s="14"/>
      <c r="D34" s="14"/>
      <c r="E34" s="9"/>
      <c r="F34" s="9"/>
      <c r="G34" s="9"/>
      <c r="H34" s="9"/>
      <c r="I34" s="9"/>
      <c r="J34" s="9"/>
      <c r="K34" s="9"/>
      <c r="L34" s="9"/>
      <c r="M34" s="7"/>
    </row>
    <row r="35" spans="1:38" ht="23.1" customHeight="1">
      <c r="A35" s="7"/>
      <c r="B35" s="7"/>
      <c r="C35" s="14"/>
      <c r="D35" s="14"/>
      <c r="E35" s="9"/>
      <c r="F35" s="9"/>
      <c r="G35" s="9"/>
      <c r="H35" s="9"/>
      <c r="I35" s="9"/>
      <c r="J35" s="9"/>
      <c r="K35" s="9"/>
      <c r="L35" s="9"/>
      <c r="M35" s="7"/>
    </row>
    <row r="36" spans="1:38" ht="23.1" customHeight="1">
      <c r="A36" s="10" t="s">
        <v>46</v>
      </c>
      <c r="B36" s="11"/>
      <c r="C36" s="12"/>
      <c r="D36" s="12"/>
      <c r="E36" s="13"/>
      <c r="F36" s="13" t="e">
        <f>SUMIF(Q22:Q25, "1", F22:F25)</f>
        <v>#REF!</v>
      </c>
      <c r="G36" s="13"/>
      <c r="H36" s="13" t="e">
        <f>SUMIF(Q22:Q25, "1", H22:H25)</f>
        <v>#REF!</v>
      </c>
      <c r="I36" s="13"/>
      <c r="J36" s="13">
        <f>SUMIF(Q22:Q25, "1", J22:J25)</f>
        <v>0</v>
      </c>
      <c r="K36" s="13"/>
      <c r="L36" s="13" t="e">
        <f>F36+H36+J36</f>
        <v>#REF!</v>
      </c>
      <c r="M36" s="11"/>
      <c r="R36">
        <f t="shared" ref="R36:AL36" si="2">SUM(R22:R25)</f>
        <v>0</v>
      </c>
      <c r="S36">
        <f t="shared" si="2"/>
        <v>0</v>
      </c>
      <c r="T36">
        <f t="shared" si="2"/>
        <v>0</v>
      </c>
      <c r="U36">
        <f t="shared" si="2"/>
        <v>0</v>
      </c>
      <c r="V36">
        <f t="shared" si="2"/>
        <v>0</v>
      </c>
      <c r="W36">
        <f t="shared" si="2"/>
        <v>0</v>
      </c>
      <c r="X36">
        <f t="shared" si="2"/>
        <v>0</v>
      </c>
      <c r="Y36">
        <f t="shared" si="2"/>
        <v>0</v>
      </c>
      <c r="Z36">
        <f t="shared" si="2"/>
        <v>0</v>
      </c>
      <c r="AA36">
        <f t="shared" si="2"/>
        <v>0</v>
      </c>
      <c r="AB36">
        <f t="shared" si="2"/>
        <v>0</v>
      </c>
      <c r="AC36">
        <f t="shared" si="2"/>
        <v>0</v>
      </c>
      <c r="AD36">
        <f t="shared" si="2"/>
        <v>0</v>
      </c>
      <c r="AE36">
        <f t="shared" si="2"/>
        <v>0</v>
      </c>
      <c r="AF36">
        <f t="shared" si="2"/>
        <v>0</v>
      </c>
      <c r="AG36">
        <f t="shared" si="2"/>
        <v>0</v>
      </c>
      <c r="AH36">
        <f t="shared" si="2"/>
        <v>0</v>
      </c>
      <c r="AI36">
        <f t="shared" si="2"/>
        <v>0</v>
      </c>
      <c r="AJ36">
        <f t="shared" si="2"/>
        <v>0</v>
      </c>
      <c r="AK36">
        <f t="shared" si="2"/>
        <v>0</v>
      </c>
      <c r="AL36">
        <f t="shared" si="2"/>
        <v>0</v>
      </c>
    </row>
  </sheetData>
  <mergeCells count="11">
    <mergeCell ref="K3:L3"/>
    <mergeCell ref="A1:M1"/>
    <mergeCell ref="A2:M2"/>
    <mergeCell ref="A3:A4"/>
    <mergeCell ref="B3:B4"/>
    <mergeCell ref="C3:C4"/>
    <mergeCell ref="D3:D4"/>
    <mergeCell ref="M3:M4"/>
    <mergeCell ref="E3:F3"/>
    <mergeCell ref="G3:H3"/>
    <mergeCell ref="I3:J3"/>
  </mergeCells>
  <phoneticPr fontId="1" type="noConversion"/>
  <conditionalFormatting sqref="A5:M36">
    <cfRule type="containsText" dxfId="3" priority="1" stopIfTrue="1" operator="containsText" text=".">
      <formula>NOT(ISERROR(SEARCH(".",A5)))</formula>
    </cfRule>
    <cfRule type="notContainsText" dxfId="2" priority="2" stopIfTrue="1" operator="notContains" text=".">
      <formula>ISERROR(SEARCH(".",A5))</formula>
    </cfRule>
  </conditionalFormatting>
  <pageMargins left="0.74555149110298213" right="0" top="0.4305908611817223" bottom="0.1388888888888889" header="0.3" footer="0.1388888888888889"/>
  <pageSetup paperSize="9" orientation="landscape" r:id="rId1"/>
  <rowBreaks count="2" manualBreakCount="2">
    <brk id="20" max="16383" man="1"/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B7"/>
  </sheetPr>
  <dimension ref="A1:AL100"/>
  <sheetViews>
    <sheetView tabSelected="1" workbookViewId="0">
      <pane xSplit="4" ySplit="4" topLeftCell="E50" activePane="bottomRight" state="frozen"/>
      <selection activeCell="A4" sqref="A4:K29"/>
      <selection pane="topRight" activeCell="A4" sqref="A4:K29"/>
      <selection pane="bottomLeft" activeCell="A4" sqref="A4:K29"/>
      <selection pane="bottomRight" activeCell="I51" sqref="I51"/>
    </sheetView>
  </sheetViews>
  <sheetFormatPr defaultRowHeight="16.5"/>
  <cols>
    <col min="1" max="2" width="20.625" style="2" customWidth="1"/>
    <col min="3" max="3" width="4.625" style="3" customWidth="1"/>
    <col min="4" max="5" width="6.625" style="4" customWidth="1"/>
    <col min="6" max="6" width="9.625" style="4" customWidth="1"/>
    <col min="7" max="7" width="6.625" style="4" customWidth="1"/>
    <col min="8" max="8" width="9.625" style="4" customWidth="1"/>
    <col min="9" max="9" width="6.625" style="4" customWidth="1"/>
    <col min="10" max="10" width="9.625" style="4" customWidth="1"/>
    <col min="11" max="11" width="6.625" style="4" customWidth="1"/>
    <col min="12" max="12" width="9.625" style="4" customWidth="1"/>
    <col min="13" max="13" width="8.625" style="4" customWidth="1"/>
    <col min="14" max="38" width="0" hidden="1" customWidth="1"/>
  </cols>
  <sheetData>
    <row r="1" spans="1:38" ht="30" customHeight="1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23.1" customHeight="1">
      <c r="A2" s="33" t="str">
        <f>+집계표!A2</f>
        <v>공사명 : 2021 경기도박물관 음고정보수공사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38" ht="23.1" customHeight="1">
      <c r="A3" s="51" t="s">
        <v>117</v>
      </c>
      <c r="B3" s="51" t="s">
        <v>118</v>
      </c>
      <c r="C3" s="51" t="s">
        <v>1</v>
      </c>
      <c r="D3" s="51" t="s">
        <v>36</v>
      </c>
      <c r="E3" s="51" t="s">
        <v>56</v>
      </c>
      <c r="F3" s="51"/>
      <c r="G3" s="51" t="s">
        <v>57</v>
      </c>
      <c r="H3" s="51"/>
      <c r="I3" s="51" t="s">
        <v>58</v>
      </c>
      <c r="J3" s="51"/>
      <c r="K3" s="51" t="s">
        <v>59</v>
      </c>
      <c r="L3" s="51"/>
      <c r="M3" s="51" t="s">
        <v>119</v>
      </c>
    </row>
    <row r="4" spans="1:38" ht="23.1" customHeight="1">
      <c r="A4" s="51"/>
      <c r="B4" s="51"/>
      <c r="C4" s="51"/>
      <c r="D4" s="51"/>
      <c r="E4" s="5" t="s">
        <v>37</v>
      </c>
      <c r="F4" s="5" t="s">
        <v>38</v>
      </c>
      <c r="G4" s="5" t="s">
        <v>37</v>
      </c>
      <c r="H4" s="5" t="s">
        <v>38</v>
      </c>
      <c r="I4" s="5" t="s">
        <v>37</v>
      </c>
      <c r="J4" s="5" t="s">
        <v>38</v>
      </c>
      <c r="K4" s="5" t="s">
        <v>37</v>
      </c>
      <c r="L4" s="5" t="s">
        <v>38</v>
      </c>
      <c r="M4" s="51"/>
      <c r="N4" t="s">
        <v>39</v>
      </c>
      <c r="O4" t="s">
        <v>40</v>
      </c>
      <c r="P4" t="s">
        <v>41</v>
      </c>
      <c r="Q4" t="s">
        <v>42</v>
      </c>
      <c r="R4" t="s">
        <v>44</v>
      </c>
      <c r="S4" t="s">
        <v>120</v>
      </c>
      <c r="T4" t="s">
        <v>121</v>
      </c>
      <c r="U4" t="s">
        <v>122</v>
      </c>
      <c r="V4" t="s">
        <v>123</v>
      </c>
      <c r="W4" t="s">
        <v>124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130</v>
      </c>
      <c r="AD4" t="s">
        <v>131</v>
      </c>
      <c r="AE4" t="s">
        <v>132</v>
      </c>
      <c r="AF4" t="s">
        <v>133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139</v>
      </c>
    </row>
    <row r="5" spans="1:38" ht="23.1" customHeight="1">
      <c r="A5" s="54" t="s">
        <v>140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38" ht="23.1" customHeight="1">
      <c r="A6" s="6" t="s">
        <v>64</v>
      </c>
      <c r="B6" s="6" t="s">
        <v>65</v>
      </c>
      <c r="C6" s="8" t="s">
        <v>60</v>
      </c>
      <c r="D6" s="9">
        <f>+[1]수량산출서!$A$29</f>
        <v>249.03</v>
      </c>
      <c r="E6" s="9"/>
      <c r="F6" s="9">
        <f t="shared" ref="F6:F12" si="0">ROUNDDOWN(D6*E6, 0)</f>
        <v>0</v>
      </c>
      <c r="G6" s="9"/>
      <c r="H6" s="9">
        <f t="shared" ref="H6:H12" si="1">ROUNDDOWN(D6*G6, 0)</f>
        <v>0</v>
      </c>
      <c r="I6" s="9"/>
      <c r="J6" s="9">
        <f t="shared" ref="J6:J12" si="2">ROUNDDOWN(D6*I6, 0)</f>
        <v>0</v>
      </c>
      <c r="K6" s="9">
        <f t="shared" ref="K6:L12" si="3">E6+G6+I6</f>
        <v>0</v>
      </c>
      <c r="L6" s="9">
        <f t="shared" si="3"/>
        <v>0</v>
      </c>
      <c r="M6" s="15" t="s">
        <v>63</v>
      </c>
      <c r="O6" t="str">
        <f>""</f>
        <v/>
      </c>
      <c r="P6" s="1" t="s">
        <v>44</v>
      </c>
      <c r="Q6">
        <v>1</v>
      </c>
      <c r="R6">
        <f t="shared" ref="R6:R12" si="4">IF(P6="기계경비", J6, 0)</f>
        <v>0</v>
      </c>
      <c r="S6">
        <f t="shared" ref="S6:S12" si="5">IF(P6="운반비", J6, 0)</f>
        <v>0</v>
      </c>
      <c r="T6">
        <f t="shared" ref="T6:T12" si="6">IF(P6="작업부산물", F6, 0)</f>
        <v>0</v>
      </c>
      <c r="U6">
        <f t="shared" ref="U6:U12" si="7">IF(P6="관급", F6, 0)</f>
        <v>0</v>
      </c>
      <c r="V6">
        <f t="shared" ref="V6:V12" si="8">IF(P6="외주비", J6, 0)</f>
        <v>0</v>
      </c>
      <c r="W6">
        <f t="shared" ref="W6:W12" si="9">IF(P6="장비비", J6, 0)</f>
        <v>0</v>
      </c>
      <c r="X6">
        <f t="shared" ref="X6:X12" si="10">IF(P6="폐기물처리비", J6, 0)</f>
        <v>0</v>
      </c>
      <c r="Y6">
        <f t="shared" ref="Y6:Y12" si="11">IF(P6="가설비", J6, 0)</f>
        <v>0</v>
      </c>
      <c r="Z6">
        <f t="shared" ref="Z6:Z12" si="12">IF(P6="잡비제외분", F6, 0)</f>
        <v>0</v>
      </c>
      <c r="AA6">
        <f t="shared" ref="AA6:AA12" si="13">IF(P6="사급자재대", L6, 0)</f>
        <v>0</v>
      </c>
      <c r="AB6">
        <f t="shared" ref="AB6:AB12" si="14">IF(P6="관급자재대", L6, 0)</f>
        <v>0</v>
      </c>
      <c r="AC6">
        <f t="shared" ref="AC6:AC12" si="15">IF(P6="설계비", L6, 0)</f>
        <v>0</v>
      </c>
      <c r="AD6">
        <f t="shared" ref="AD6:AD12" si="16">IF(P6="공사수리보고서제작", L6, 0)</f>
        <v>0</v>
      </c>
      <c r="AE6">
        <f t="shared" ref="AE6:AE12" si="17">IF(P6="사용자항목3", L6, 0)</f>
        <v>0</v>
      </c>
      <c r="AF6">
        <f t="shared" ref="AF6:AF12" si="18">IF(P6="사용자항목4", L6, 0)</f>
        <v>0</v>
      </c>
      <c r="AG6">
        <f t="shared" ref="AG6:AG12" si="19">IF(P6="사용자항목5", L6, 0)</f>
        <v>0</v>
      </c>
      <c r="AH6">
        <f t="shared" ref="AH6:AH12" si="20">IF(P6="사용자항목6", L6, 0)</f>
        <v>0</v>
      </c>
      <c r="AI6">
        <f t="shared" ref="AI6:AI12" si="21">IF(P6="사용자항목7", L6, 0)</f>
        <v>0</v>
      </c>
      <c r="AJ6">
        <f t="shared" ref="AJ6:AJ12" si="22">IF(P6="사용자항목8", L6, 0)</f>
        <v>0</v>
      </c>
      <c r="AK6">
        <f t="shared" ref="AK6:AK12" si="23">IF(P6="사용자항목9", L6, 0)</f>
        <v>0</v>
      </c>
    </row>
    <row r="7" spans="1:38" ht="23.1" customHeight="1">
      <c r="A7" s="6" t="s">
        <v>67</v>
      </c>
      <c r="B7" s="6" t="s">
        <v>68</v>
      </c>
      <c r="C7" s="8" t="s">
        <v>60</v>
      </c>
      <c r="D7" s="9">
        <f>+[1]수량산출서!$B$29</f>
        <v>10.26</v>
      </c>
      <c r="E7" s="9"/>
      <c r="F7" s="9">
        <f t="shared" si="0"/>
        <v>0</v>
      </c>
      <c r="G7" s="9"/>
      <c r="H7" s="9">
        <f t="shared" si="1"/>
        <v>0</v>
      </c>
      <c r="I7" s="9"/>
      <c r="J7" s="9">
        <f t="shared" si="2"/>
        <v>0</v>
      </c>
      <c r="K7" s="9">
        <f t="shared" si="3"/>
        <v>0</v>
      </c>
      <c r="L7" s="9">
        <f t="shared" si="3"/>
        <v>0</v>
      </c>
      <c r="M7" s="15" t="s">
        <v>66</v>
      </c>
      <c r="O7" t="str">
        <f>""</f>
        <v/>
      </c>
      <c r="P7" s="1" t="s">
        <v>44</v>
      </c>
      <c r="Q7">
        <v>1</v>
      </c>
      <c r="R7">
        <f t="shared" si="4"/>
        <v>0</v>
      </c>
      <c r="S7">
        <f t="shared" si="5"/>
        <v>0</v>
      </c>
      <c r="T7">
        <f t="shared" si="6"/>
        <v>0</v>
      </c>
      <c r="U7">
        <f t="shared" si="7"/>
        <v>0</v>
      </c>
      <c r="V7">
        <f t="shared" si="8"/>
        <v>0</v>
      </c>
      <c r="W7">
        <f t="shared" si="9"/>
        <v>0</v>
      </c>
      <c r="X7">
        <f t="shared" si="10"/>
        <v>0</v>
      </c>
      <c r="Y7">
        <f t="shared" si="11"/>
        <v>0</v>
      </c>
      <c r="Z7">
        <f t="shared" si="12"/>
        <v>0</v>
      </c>
      <c r="AA7">
        <f t="shared" si="13"/>
        <v>0</v>
      </c>
      <c r="AB7">
        <f t="shared" si="14"/>
        <v>0</v>
      </c>
      <c r="AC7">
        <f t="shared" si="15"/>
        <v>0</v>
      </c>
      <c r="AD7">
        <f t="shared" si="16"/>
        <v>0</v>
      </c>
      <c r="AE7">
        <f t="shared" si="17"/>
        <v>0</v>
      </c>
      <c r="AF7">
        <f t="shared" si="18"/>
        <v>0</v>
      </c>
      <c r="AG7">
        <f t="shared" si="19"/>
        <v>0</v>
      </c>
      <c r="AH7">
        <f t="shared" si="20"/>
        <v>0</v>
      </c>
      <c r="AI7">
        <f t="shared" si="21"/>
        <v>0</v>
      </c>
      <c r="AJ7">
        <f t="shared" si="22"/>
        <v>0</v>
      </c>
      <c r="AK7">
        <f t="shared" si="23"/>
        <v>0</v>
      </c>
    </row>
    <row r="8" spans="1:38" ht="23.1" customHeight="1">
      <c r="A8" s="6" t="s">
        <v>70</v>
      </c>
      <c r="B8" s="6" t="s">
        <v>71</v>
      </c>
      <c r="C8" s="8" t="s">
        <v>60</v>
      </c>
      <c r="D8" s="9">
        <f>+[1]수량산출서!$E$29</f>
        <v>125.95</v>
      </c>
      <c r="E8" s="9"/>
      <c r="F8" s="9">
        <f t="shared" si="0"/>
        <v>0</v>
      </c>
      <c r="G8" s="9"/>
      <c r="H8" s="9">
        <f t="shared" si="1"/>
        <v>0</v>
      </c>
      <c r="I8" s="9"/>
      <c r="J8" s="9">
        <f t="shared" si="2"/>
        <v>0</v>
      </c>
      <c r="K8" s="9">
        <f t="shared" si="3"/>
        <v>0</v>
      </c>
      <c r="L8" s="9">
        <f t="shared" si="3"/>
        <v>0</v>
      </c>
      <c r="M8" s="15" t="s">
        <v>69</v>
      </c>
      <c r="O8" t="str">
        <f>""</f>
        <v/>
      </c>
      <c r="P8" s="1" t="s">
        <v>44</v>
      </c>
      <c r="Q8">
        <v>1</v>
      </c>
      <c r="R8">
        <f t="shared" si="4"/>
        <v>0</v>
      </c>
      <c r="S8">
        <f t="shared" si="5"/>
        <v>0</v>
      </c>
      <c r="T8">
        <f t="shared" si="6"/>
        <v>0</v>
      </c>
      <c r="U8">
        <f t="shared" si="7"/>
        <v>0</v>
      </c>
      <c r="V8">
        <f t="shared" si="8"/>
        <v>0</v>
      </c>
      <c r="W8">
        <f t="shared" si="9"/>
        <v>0</v>
      </c>
      <c r="X8">
        <f t="shared" si="10"/>
        <v>0</v>
      </c>
      <c r="Y8">
        <f t="shared" si="11"/>
        <v>0</v>
      </c>
      <c r="Z8">
        <f t="shared" si="12"/>
        <v>0</v>
      </c>
      <c r="AA8">
        <f t="shared" si="13"/>
        <v>0</v>
      </c>
      <c r="AB8">
        <f t="shared" si="14"/>
        <v>0</v>
      </c>
      <c r="AC8">
        <f t="shared" si="15"/>
        <v>0</v>
      </c>
      <c r="AD8">
        <f t="shared" si="16"/>
        <v>0</v>
      </c>
      <c r="AE8">
        <f t="shared" si="17"/>
        <v>0</v>
      </c>
      <c r="AF8">
        <f t="shared" si="18"/>
        <v>0</v>
      </c>
      <c r="AG8">
        <f t="shared" si="19"/>
        <v>0</v>
      </c>
      <c r="AH8">
        <f t="shared" si="20"/>
        <v>0</v>
      </c>
      <c r="AI8">
        <f t="shared" si="21"/>
        <v>0</v>
      </c>
      <c r="AJ8">
        <f t="shared" si="22"/>
        <v>0</v>
      </c>
      <c r="AK8">
        <f t="shared" si="23"/>
        <v>0</v>
      </c>
    </row>
    <row r="9" spans="1:38" ht="23.1" customHeight="1">
      <c r="A9" s="6" t="s">
        <v>73</v>
      </c>
      <c r="B9" s="6" t="s">
        <v>74</v>
      </c>
      <c r="C9" s="8" t="s">
        <v>60</v>
      </c>
      <c r="D9" s="9">
        <f>+[1]수량산출서!$J$29</f>
        <v>35.21</v>
      </c>
      <c r="E9" s="9"/>
      <c r="F9" s="9">
        <f t="shared" si="0"/>
        <v>0</v>
      </c>
      <c r="G9" s="9"/>
      <c r="H9" s="9">
        <f t="shared" si="1"/>
        <v>0</v>
      </c>
      <c r="I9" s="9"/>
      <c r="J9" s="9">
        <f t="shared" si="2"/>
        <v>0</v>
      </c>
      <c r="K9" s="9">
        <f t="shared" si="3"/>
        <v>0</v>
      </c>
      <c r="L9" s="9">
        <f t="shared" si="3"/>
        <v>0</v>
      </c>
      <c r="M9" s="15" t="s">
        <v>72</v>
      </c>
      <c r="O9" t="str">
        <f>""</f>
        <v/>
      </c>
      <c r="P9" s="1" t="s">
        <v>44</v>
      </c>
      <c r="Q9">
        <v>1</v>
      </c>
      <c r="R9">
        <f t="shared" si="4"/>
        <v>0</v>
      </c>
      <c r="S9">
        <f t="shared" si="5"/>
        <v>0</v>
      </c>
      <c r="T9">
        <f t="shared" si="6"/>
        <v>0</v>
      </c>
      <c r="U9">
        <f t="shared" si="7"/>
        <v>0</v>
      </c>
      <c r="V9">
        <f t="shared" si="8"/>
        <v>0</v>
      </c>
      <c r="W9">
        <f t="shared" si="9"/>
        <v>0</v>
      </c>
      <c r="X9">
        <f t="shared" si="10"/>
        <v>0</v>
      </c>
      <c r="Y9">
        <f t="shared" si="11"/>
        <v>0</v>
      </c>
      <c r="Z9">
        <f t="shared" si="12"/>
        <v>0</v>
      </c>
      <c r="AA9">
        <f t="shared" si="13"/>
        <v>0</v>
      </c>
      <c r="AB9">
        <f t="shared" si="14"/>
        <v>0</v>
      </c>
      <c r="AC9">
        <f t="shared" si="15"/>
        <v>0</v>
      </c>
      <c r="AD9">
        <f t="shared" si="16"/>
        <v>0</v>
      </c>
      <c r="AE9">
        <f t="shared" si="17"/>
        <v>0</v>
      </c>
      <c r="AF9">
        <f t="shared" si="18"/>
        <v>0</v>
      </c>
      <c r="AG9">
        <f t="shared" si="19"/>
        <v>0</v>
      </c>
      <c r="AH9">
        <f t="shared" si="20"/>
        <v>0</v>
      </c>
      <c r="AI9">
        <f t="shared" si="21"/>
        <v>0</v>
      </c>
      <c r="AJ9">
        <f t="shared" si="22"/>
        <v>0</v>
      </c>
      <c r="AK9">
        <f t="shared" si="23"/>
        <v>0</v>
      </c>
    </row>
    <row r="10" spans="1:38" ht="23.1" customHeight="1">
      <c r="A10" s="6" t="s">
        <v>76</v>
      </c>
      <c r="B10" s="6" t="s">
        <v>77</v>
      </c>
      <c r="C10" s="8" t="s">
        <v>78</v>
      </c>
      <c r="D10" s="9">
        <f>+[1]수량산출서!$H$29</f>
        <v>1</v>
      </c>
      <c r="E10" s="9"/>
      <c r="F10" s="9">
        <f t="shared" si="0"/>
        <v>0</v>
      </c>
      <c r="G10" s="9"/>
      <c r="H10" s="9">
        <f t="shared" si="1"/>
        <v>0</v>
      </c>
      <c r="I10" s="9"/>
      <c r="J10" s="9">
        <f t="shared" si="2"/>
        <v>0</v>
      </c>
      <c r="K10" s="9">
        <f t="shared" si="3"/>
        <v>0</v>
      </c>
      <c r="L10" s="9">
        <f t="shared" si="3"/>
        <v>0</v>
      </c>
      <c r="M10" s="15" t="s">
        <v>75</v>
      </c>
      <c r="O10" t="str">
        <f>""</f>
        <v/>
      </c>
      <c r="P10" s="1" t="s">
        <v>44</v>
      </c>
      <c r="Q10">
        <v>1</v>
      </c>
      <c r="R10">
        <f t="shared" si="4"/>
        <v>0</v>
      </c>
      <c r="S10">
        <f t="shared" si="5"/>
        <v>0</v>
      </c>
      <c r="T10">
        <f t="shared" si="6"/>
        <v>0</v>
      </c>
      <c r="U10">
        <f t="shared" si="7"/>
        <v>0</v>
      </c>
      <c r="V10">
        <f t="shared" si="8"/>
        <v>0</v>
      </c>
      <c r="W10">
        <f t="shared" si="9"/>
        <v>0</v>
      </c>
      <c r="X10">
        <f t="shared" si="10"/>
        <v>0</v>
      </c>
      <c r="Y10">
        <f t="shared" si="11"/>
        <v>0</v>
      </c>
      <c r="Z10">
        <f t="shared" si="12"/>
        <v>0</v>
      </c>
      <c r="AA10">
        <f t="shared" si="13"/>
        <v>0</v>
      </c>
      <c r="AB10">
        <f t="shared" si="14"/>
        <v>0</v>
      </c>
      <c r="AC10">
        <f t="shared" si="15"/>
        <v>0</v>
      </c>
      <c r="AD10">
        <f t="shared" si="16"/>
        <v>0</v>
      </c>
      <c r="AE10">
        <f t="shared" si="17"/>
        <v>0</v>
      </c>
      <c r="AF10">
        <f t="shared" si="18"/>
        <v>0</v>
      </c>
      <c r="AG10">
        <f t="shared" si="19"/>
        <v>0</v>
      </c>
      <c r="AH10">
        <f t="shared" si="20"/>
        <v>0</v>
      </c>
      <c r="AI10">
        <f t="shared" si="21"/>
        <v>0</v>
      </c>
      <c r="AJ10">
        <f t="shared" si="22"/>
        <v>0</v>
      </c>
      <c r="AK10">
        <f t="shared" si="23"/>
        <v>0</v>
      </c>
    </row>
    <row r="11" spans="1:38" ht="23.1" customHeight="1">
      <c r="A11" s="6" t="s">
        <v>4</v>
      </c>
      <c r="B11" s="6" t="s">
        <v>5</v>
      </c>
      <c r="C11" s="8" t="s">
        <v>6</v>
      </c>
      <c r="D11" s="9">
        <f>+[1]수량산출서!$K$29</f>
        <v>1</v>
      </c>
      <c r="E11" s="9"/>
      <c r="F11" s="9">
        <f t="shared" si="0"/>
        <v>0</v>
      </c>
      <c r="G11" s="9"/>
      <c r="H11" s="9">
        <f t="shared" si="1"/>
        <v>0</v>
      </c>
      <c r="I11" s="9"/>
      <c r="J11" s="9">
        <f t="shared" si="2"/>
        <v>0</v>
      </c>
      <c r="K11" s="9">
        <f t="shared" si="3"/>
        <v>0</v>
      </c>
      <c r="L11" s="9">
        <f t="shared" si="3"/>
        <v>0</v>
      </c>
      <c r="M11" s="9"/>
      <c r="O11" t="str">
        <f>"01"</f>
        <v>01</v>
      </c>
      <c r="P11" s="1" t="s">
        <v>44</v>
      </c>
      <c r="Q11">
        <v>1</v>
      </c>
      <c r="R11">
        <f t="shared" si="4"/>
        <v>0</v>
      </c>
      <c r="S11">
        <f t="shared" si="5"/>
        <v>0</v>
      </c>
      <c r="T11">
        <f t="shared" si="6"/>
        <v>0</v>
      </c>
      <c r="U11">
        <f t="shared" si="7"/>
        <v>0</v>
      </c>
      <c r="V11">
        <f t="shared" si="8"/>
        <v>0</v>
      </c>
      <c r="W11">
        <f t="shared" si="9"/>
        <v>0</v>
      </c>
      <c r="X11">
        <f t="shared" si="10"/>
        <v>0</v>
      </c>
      <c r="Y11">
        <f t="shared" si="11"/>
        <v>0</v>
      </c>
      <c r="Z11">
        <f t="shared" si="12"/>
        <v>0</v>
      </c>
      <c r="AA11">
        <f t="shared" si="13"/>
        <v>0</v>
      </c>
      <c r="AB11">
        <f t="shared" si="14"/>
        <v>0</v>
      </c>
      <c r="AC11">
        <f t="shared" si="15"/>
        <v>0</v>
      </c>
      <c r="AD11">
        <f t="shared" si="16"/>
        <v>0</v>
      </c>
      <c r="AE11">
        <f t="shared" si="17"/>
        <v>0</v>
      </c>
      <c r="AF11">
        <f t="shared" si="18"/>
        <v>0</v>
      </c>
      <c r="AG11">
        <f t="shared" si="19"/>
        <v>0</v>
      </c>
      <c r="AH11">
        <f t="shared" si="20"/>
        <v>0</v>
      </c>
      <c r="AI11">
        <f t="shared" si="21"/>
        <v>0</v>
      </c>
      <c r="AJ11">
        <f t="shared" si="22"/>
        <v>0</v>
      </c>
      <c r="AK11">
        <f t="shared" si="23"/>
        <v>0</v>
      </c>
    </row>
    <row r="12" spans="1:38" ht="23.1" customHeight="1">
      <c r="A12" s="6" t="s">
        <v>80</v>
      </c>
      <c r="B12" s="6" t="s">
        <v>81</v>
      </c>
      <c r="C12" s="8" t="s">
        <v>17</v>
      </c>
      <c r="D12" s="9">
        <v>30</v>
      </c>
      <c r="E12" s="9"/>
      <c r="F12" s="9">
        <f t="shared" si="0"/>
        <v>0</v>
      </c>
      <c r="G12" s="9"/>
      <c r="H12" s="9">
        <f t="shared" si="1"/>
        <v>0</v>
      </c>
      <c r="I12" s="9"/>
      <c r="J12" s="9">
        <f t="shared" si="2"/>
        <v>0</v>
      </c>
      <c r="K12" s="9">
        <f t="shared" si="3"/>
        <v>0</v>
      </c>
      <c r="L12" s="9">
        <f t="shared" si="3"/>
        <v>0</v>
      </c>
      <c r="M12" s="15" t="s">
        <v>79</v>
      </c>
      <c r="O12" t="str">
        <f>""</f>
        <v/>
      </c>
      <c r="P12" s="1" t="s">
        <v>44</v>
      </c>
      <c r="Q12">
        <v>1</v>
      </c>
      <c r="R12">
        <f t="shared" si="4"/>
        <v>0</v>
      </c>
      <c r="S12">
        <f t="shared" si="5"/>
        <v>0</v>
      </c>
      <c r="T12">
        <f t="shared" si="6"/>
        <v>0</v>
      </c>
      <c r="U12">
        <f t="shared" si="7"/>
        <v>0</v>
      </c>
      <c r="V12">
        <f t="shared" si="8"/>
        <v>0</v>
      </c>
      <c r="W12">
        <f t="shared" si="9"/>
        <v>0</v>
      </c>
      <c r="X12">
        <f t="shared" si="10"/>
        <v>0</v>
      </c>
      <c r="Y12">
        <f t="shared" si="11"/>
        <v>0</v>
      </c>
      <c r="Z12">
        <f t="shared" si="12"/>
        <v>0</v>
      </c>
      <c r="AA12">
        <f t="shared" si="13"/>
        <v>0</v>
      </c>
      <c r="AB12">
        <f t="shared" si="14"/>
        <v>0</v>
      </c>
      <c r="AC12">
        <f t="shared" si="15"/>
        <v>0</v>
      </c>
      <c r="AD12">
        <f t="shared" si="16"/>
        <v>0</v>
      </c>
      <c r="AE12">
        <f t="shared" si="17"/>
        <v>0</v>
      </c>
      <c r="AF12">
        <f t="shared" si="18"/>
        <v>0</v>
      </c>
      <c r="AG12">
        <f t="shared" si="19"/>
        <v>0</v>
      </c>
      <c r="AH12">
        <f t="shared" si="20"/>
        <v>0</v>
      </c>
      <c r="AI12">
        <f t="shared" si="21"/>
        <v>0</v>
      </c>
      <c r="AJ12">
        <f t="shared" si="22"/>
        <v>0</v>
      </c>
      <c r="AK12">
        <f t="shared" si="23"/>
        <v>0</v>
      </c>
    </row>
    <row r="13" spans="1:38" ht="23.1" customHeight="1">
      <c r="A13" s="7"/>
      <c r="B13" s="7"/>
      <c r="C13" s="14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38" ht="23.1" customHeight="1">
      <c r="A14" s="7"/>
      <c r="B14" s="7"/>
      <c r="C14" s="14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38" ht="23.1" customHeight="1">
      <c r="A15" s="7"/>
      <c r="B15" s="7"/>
      <c r="C15" s="14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38" ht="23.1" customHeight="1">
      <c r="A16" s="7"/>
      <c r="B16" s="7"/>
      <c r="C16" s="14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38" ht="23.1" customHeight="1">
      <c r="A17" s="7"/>
      <c r="B17" s="7"/>
      <c r="C17" s="14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38" ht="23.1" customHeight="1">
      <c r="A18" s="7"/>
      <c r="B18" s="7"/>
      <c r="C18" s="14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38" ht="23.1" customHeight="1">
      <c r="A19" s="7"/>
      <c r="B19" s="7"/>
      <c r="C19" s="14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38" ht="23.1" customHeight="1">
      <c r="A20" s="10" t="s">
        <v>46</v>
      </c>
      <c r="B20" s="11"/>
      <c r="C20" s="12"/>
      <c r="D20" s="13"/>
      <c r="E20" s="13"/>
      <c r="F20" s="13">
        <f>ROUNDDOWN(SUMIF(Q6:Q12, "1", F6:F12), 0)</f>
        <v>0</v>
      </c>
      <c r="G20" s="13"/>
      <c r="H20" s="13">
        <f>ROUNDDOWN(SUMIF(Q6:Q12, "1", H6:H12), 0)</f>
        <v>0</v>
      </c>
      <c r="I20" s="13"/>
      <c r="J20" s="13">
        <f>ROUNDDOWN(SUMIF(Q6:Q12, "1", J6:J12), 0)</f>
        <v>0</v>
      </c>
      <c r="K20" s="13"/>
      <c r="L20" s="13">
        <f>F20+H20+J20</f>
        <v>0</v>
      </c>
      <c r="M20" s="13"/>
      <c r="R20">
        <f t="shared" ref="R20:AL20" si="24">ROUNDDOWN(SUM(R6:R12), 0)</f>
        <v>0</v>
      </c>
      <c r="S20">
        <f t="shared" si="24"/>
        <v>0</v>
      </c>
      <c r="T20">
        <f t="shared" si="24"/>
        <v>0</v>
      </c>
      <c r="U20">
        <f t="shared" si="24"/>
        <v>0</v>
      </c>
      <c r="V20">
        <f t="shared" si="24"/>
        <v>0</v>
      </c>
      <c r="W20">
        <f t="shared" si="24"/>
        <v>0</v>
      </c>
      <c r="X20">
        <f t="shared" si="24"/>
        <v>0</v>
      </c>
      <c r="Y20">
        <f t="shared" si="24"/>
        <v>0</v>
      </c>
      <c r="Z20">
        <f t="shared" si="24"/>
        <v>0</v>
      </c>
      <c r="AA20">
        <f t="shared" si="24"/>
        <v>0</v>
      </c>
      <c r="AB20">
        <f t="shared" si="24"/>
        <v>0</v>
      </c>
      <c r="AC20">
        <f t="shared" si="24"/>
        <v>0</v>
      </c>
      <c r="AD20">
        <f t="shared" si="24"/>
        <v>0</v>
      </c>
      <c r="AE20">
        <f t="shared" si="24"/>
        <v>0</v>
      </c>
      <c r="AF20">
        <f t="shared" si="24"/>
        <v>0</v>
      </c>
      <c r="AG20">
        <f t="shared" si="24"/>
        <v>0</v>
      </c>
      <c r="AH20">
        <f t="shared" si="24"/>
        <v>0</v>
      </c>
      <c r="AI20">
        <f t="shared" si="24"/>
        <v>0</v>
      </c>
      <c r="AJ20">
        <f t="shared" si="24"/>
        <v>0</v>
      </c>
      <c r="AK20">
        <f t="shared" si="24"/>
        <v>0</v>
      </c>
      <c r="AL20">
        <f t="shared" si="24"/>
        <v>0</v>
      </c>
    </row>
    <row r="21" spans="1:38" ht="23.1" customHeight="1">
      <c r="A21" s="52" t="s">
        <v>141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38" ht="23.1" customHeight="1">
      <c r="A22" s="6" t="s">
        <v>83</v>
      </c>
      <c r="B22" s="6" t="s">
        <v>84</v>
      </c>
      <c r="C22" s="8" t="s">
        <v>52</v>
      </c>
      <c r="D22" s="9">
        <f>+'[1]목공사 산출근거서'!$D$509</f>
        <v>1.4390000000000001</v>
      </c>
      <c r="E22" s="9"/>
      <c r="F22" s="9">
        <f t="shared" ref="F22:F27" si="25">ROUNDDOWN(D22*E22, 0)</f>
        <v>0</v>
      </c>
      <c r="G22" s="9"/>
      <c r="H22" s="9">
        <f t="shared" ref="H22:H27" si="26">ROUNDDOWN(D22*G22, 0)</f>
        <v>0</v>
      </c>
      <c r="I22" s="9"/>
      <c r="J22" s="9">
        <f t="shared" ref="J22:J27" si="27">ROUNDDOWN(D22*I22, 0)</f>
        <v>0</v>
      </c>
      <c r="K22" s="9">
        <f t="shared" ref="K22:L27" si="28">E22+G22+I22</f>
        <v>0</v>
      </c>
      <c r="L22" s="9">
        <f t="shared" si="28"/>
        <v>0</v>
      </c>
      <c r="M22" s="15" t="s">
        <v>82</v>
      </c>
      <c r="O22" t="str">
        <f>""</f>
        <v/>
      </c>
      <c r="P22" s="1" t="s">
        <v>44</v>
      </c>
      <c r="Q22">
        <v>1</v>
      </c>
      <c r="R22">
        <f t="shared" ref="R22:R27" si="29">IF(P22="기계경비", J22, 0)</f>
        <v>0</v>
      </c>
      <c r="S22">
        <f t="shared" ref="S22:S27" si="30">IF(P22="운반비", J22, 0)</f>
        <v>0</v>
      </c>
      <c r="T22">
        <f t="shared" ref="T22:T27" si="31">IF(P22="작업부산물", F22, 0)</f>
        <v>0</v>
      </c>
      <c r="U22">
        <f t="shared" ref="U22:U27" si="32">IF(P22="관급", F22, 0)</f>
        <v>0</v>
      </c>
      <c r="V22">
        <f t="shared" ref="V22:V27" si="33">IF(P22="외주비", J22, 0)</f>
        <v>0</v>
      </c>
      <c r="W22">
        <f t="shared" ref="W22:W27" si="34">IF(P22="장비비", J22, 0)</f>
        <v>0</v>
      </c>
      <c r="X22">
        <f t="shared" ref="X22:X27" si="35">IF(P22="폐기물처리비", J22, 0)</f>
        <v>0</v>
      </c>
      <c r="Y22">
        <f t="shared" ref="Y22:Y27" si="36">IF(P22="가설비", J22, 0)</f>
        <v>0</v>
      </c>
      <c r="Z22">
        <f t="shared" ref="Z22:Z27" si="37">IF(P22="잡비제외분", F22, 0)</f>
        <v>0</v>
      </c>
      <c r="AA22">
        <f t="shared" ref="AA22:AA27" si="38">IF(P22="사급자재대", L22, 0)</f>
        <v>0</v>
      </c>
      <c r="AB22">
        <f t="shared" ref="AB22:AB27" si="39">IF(P22="관급자재대", L22, 0)</f>
        <v>0</v>
      </c>
      <c r="AC22">
        <f t="shared" ref="AC22:AC27" si="40">IF(P22="설계비", L22, 0)</f>
        <v>0</v>
      </c>
      <c r="AD22">
        <f t="shared" ref="AD22:AD27" si="41">IF(P22="공사수리보고서제작", L22, 0)</f>
        <v>0</v>
      </c>
      <c r="AE22">
        <f t="shared" ref="AE22:AE27" si="42">IF(P22="사용자항목3", L22, 0)</f>
        <v>0</v>
      </c>
      <c r="AF22">
        <f t="shared" ref="AF22:AF27" si="43">IF(P22="사용자항목4", L22, 0)</f>
        <v>0</v>
      </c>
      <c r="AG22">
        <f t="shared" ref="AG22:AG27" si="44">IF(P22="사용자항목5", L22, 0)</f>
        <v>0</v>
      </c>
      <c r="AH22">
        <f t="shared" ref="AH22:AH27" si="45">IF(P22="사용자항목6", L22, 0)</f>
        <v>0</v>
      </c>
      <c r="AI22">
        <f t="shared" ref="AI22:AI27" si="46">IF(P22="사용자항목7", L22, 0)</f>
        <v>0</v>
      </c>
      <c r="AJ22">
        <f t="shared" ref="AJ22:AJ27" si="47">IF(P22="사용자항목8", L22, 0)</f>
        <v>0</v>
      </c>
      <c r="AK22">
        <f t="shared" ref="AK22:AK27" si="48">IF(P22="사용자항목9", L22, 0)</f>
        <v>0</v>
      </c>
    </row>
    <row r="23" spans="1:38" ht="23.1" customHeight="1">
      <c r="A23" s="6" t="s">
        <v>86</v>
      </c>
      <c r="B23" s="6" t="s">
        <v>84</v>
      </c>
      <c r="C23" s="8" t="s">
        <v>52</v>
      </c>
      <c r="D23" s="9">
        <f>+'[1]목공사 산출근거서'!$H$509</f>
        <v>1.4390000000000001</v>
      </c>
      <c r="E23" s="9"/>
      <c r="F23" s="9">
        <f t="shared" si="25"/>
        <v>0</v>
      </c>
      <c r="G23" s="9"/>
      <c r="H23" s="9">
        <f t="shared" si="26"/>
        <v>0</v>
      </c>
      <c r="I23" s="9"/>
      <c r="J23" s="9">
        <f t="shared" si="27"/>
        <v>0</v>
      </c>
      <c r="K23" s="9">
        <f t="shared" si="28"/>
        <v>0</v>
      </c>
      <c r="L23" s="9">
        <f t="shared" si="28"/>
        <v>0</v>
      </c>
      <c r="M23" s="15" t="s">
        <v>85</v>
      </c>
      <c r="O23" t="str">
        <f>""</f>
        <v/>
      </c>
      <c r="P23" s="1" t="s">
        <v>44</v>
      </c>
      <c r="Q23">
        <v>1</v>
      </c>
      <c r="R23">
        <f t="shared" si="29"/>
        <v>0</v>
      </c>
      <c r="S23">
        <f t="shared" si="30"/>
        <v>0</v>
      </c>
      <c r="T23">
        <f t="shared" si="31"/>
        <v>0</v>
      </c>
      <c r="U23">
        <f t="shared" si="32"/>
        <v>0</v>
      </c>
      <c r="V23">
        <f t="shared" si="33"/>
        <v>0</v>
      </c>
      <c r="W23">
        <f t="shared" si="34"/>
        <v>0</v>
      </c>
      <c r="X23">
        <f t="shared" si="35"/>
        <v>0</v>
      </c>
      <c r="Y23">
        <f t="shared" si="36"/>
        <v>0</v>
      </c>
      <c r="Z23">
        <f t="shared" si="37"/>
        <v>0</v>
      </c>
      <c r="AA23">
        <f t="shared" si="38"/>
        <v>0</v>
      </c>
      <c r="AB23">
        <f t="shared" si="39"/>
        <v>0</v>
      </c>
      <c r="AC23">
        <f t="shared" si="40"/>
        <v>0</v>
      </c>
      <c r="AD23">
        <f t="shared" si="41"/>
        <v>0</v>
      </c>
      <c r="AE23">
        <f t="shared" si="42"/>
        <v>0</v>
      </c>
      <c r="AF23">
        <f t="shared" si="43"/>
        <v>0</v>
      </c>
      <c r="AG23">
        <f t="shared" si="44"/>
        <v>0</v>
      </c>
      <c r="AH23">
        <f t="shared" si="45"/>
        <v>0</v>
      </c>
      <c r="AI23">
        <f t="shared" si="46"/>
        <v>0</v>
      </c>
      <c r="AJ23">
        <f t="shared" si="47"/>
        <v>0</v>
      </c>
      <c r="AK23">
        <f t="shared" si="48"/>
        <v>0</v>
      </c>
    </row>
    <row r="24" spans="1:38" ht="23.1" customHeight="1">
      <c r="A24" s="6" t="s">
        <v>7</v>
      </c>
      <c r="B24" s="6" t="s">
        <v>8</v>
      </c>
      <c r="C24" s="8" t="s">
        <v>9</v>
      </c>
      <c r="D24" s="9">
        <f>+'[1]목공사 산출근거서'!$AM$495</f>
        <v>89.1</v>
      </c>
      <c r="E24" s="9"/>
      <c r="F24" s="9">
        <f t="shared" si="25"/>
        <v>0</v>
      </c>
      <c r="G24" s="9"/>
      <c r="H24" s="9">
        <f t="shared" si="26"/>
        <v>0</v>
      </c>
      <c r="I24" s="9"/>
      <c r="J24" s="9">
        <f t="shared" si="27"/>
        <v>0</v>
      </c>
      <c r="K24" s="9">
        <f t="shared" si="28"/>
        <v>0</v>
      </c>
      <c r="L24" s="9">
        <f t="shared" si="28"/>
        <v>0</v>
      </c>
      <c r="M24" s="15" t="s">
        <v>10</v>
      </c>
      <c r="O24" t="str">
        <f>"01"</f>
        <v>01</v>
      </c>
      <c r="P24" s="1" t="s">
        <v>44</v>
      </c>
      <c r="Q24">
        <v>1</v>
      </c>
      <c r="R24">
        <f t="shared" si="29"/>
        <v>0</v>
      </c>
      <c r="S24">
        <f t="shared" si="30"/>
        <v>0</v>
      </c>
      <c r="T24">
        <f t="shared" si="31"/>
        <v>0</v>
      </c>
      <c r="U24">
        <f t="shared" si="32"/>
        <v>0</v>
      </c>
      <c r="V24">
        <f t="shared" si="33"/>
        <v>0</v>
      </c>
      <c r="W24">
        <f t="shared" si="34"/>
        <v>0</v>
      </c>
      <c r="X24">
        <f t="shared" si="35"/>
        <v>0</v>
      </c>
      <c r="Y24">
        <f t="shared" si="36"/>
        <v>0</v>
      </c>
      <c r="Z24">
        <f t="shared" si="37"/>
        <v>0</v>
      </c>
      <c r="AA24">
        <f t="shared" si="38"/>
        <v>0</v>
      </c>
      <c r="AB24">
        <f t="shared" si="39"/>
        <v>0</v>
      </c>
      <c r="AC24">
        <f t="shared" si="40"/>
        <v>0</v>
      </c>
      <c r="AD24">
        <f t="shared" si="41"/>
        <v>0</v>
      </c>
      <c r="AE24">
        <f t="shared" si="42"/>
        <v>0</v>
      </c>
      <c r="AF24">
        <f t="shared" si="43"/>
        <v>0</v>
      </c>
      <c r="AG24">
        <f t="shared" si="44"/>
        <v>0</v>
      </c>
      <c r="AH24">
        <f t="shared" si="45"/>
        <v>0</v>
      </c>
      <c r="AI24">
        <f t="shared" si="46"/>
        <v>0</v>
      </c>
      <c r="AJ24">
        <f t="shared" si="47"/>
        <v>0</v>
      </c>
      <c r="AK24">
        <f t="shared" si="48"/>
        <v>0</v>
      </c>
    </row>
    <row r="25" spans="1:38" ht="23.1" customHeight="1">
      <c r="A25" s="6" t="s">
        <v>23</v>
      </c>
      <c r="B25" s="6" t="s">
        <v>24</v>
      </c>
      <c r="C25" s="8" t="s">
        <v>22</v>
      </c>
      <c r="D25" s="9">
        <f>+'[1]목공사 산출근거서'!$AL$498</f>
        <v>0.505</v>
      </c>
      <c r="E25" s="9"/>
      <c r="F25" s="9">
        <f t="shared" si="25"/>
        <v>0</v>
      </c>
      <c r="G25" s="9"/>
      <c r="H25" s="9">
        <f t="shared" si="26"/>
        <v>0</v>
      </c>
      <c r="I25" s="9"/>
      <c r="J25" s="9">
        <f t="shared" si="27"/>
        <v>0</v>
      </c>
      <c r="K25" s="9">
        <f t="shared" si="28"/>
        <v>0</v>
      </c>
      <c r="L25" s="9">
        <f t="shared" si="28"/>
        <v>0</v>
      </c>
      <c r="M25" s="9"/>
      <c r="O25" t="str">
        <f>"02"</f>
        <v>02</v>
      </c>
      <c r="P25" s="1" t="s">
        <v>44</v>
      </c>
      <c r="Q25">
        <v>1</v>
      </c>
      <c r="R25">
        <f t="shared" si="29"/>
        <v>0</v>
      </c>
      <c r="S25">
        <f t="shared" si="30"/>
        <v>0</v>
      </c>
      <c r="T25">
        <f t="shared" si="31"/>
        <v>0</v>
      </c>
      <c r="U25">
        <f t="shared" si="32"/>
        <v>0</v>
      </c>
      <c r="V25">
        <f t="shared" si="33"/>
        <v>0</v>
      </c>
      <c r="W25">
        <f t="shared" si="34"/>
        <v>0</v>
      </c>
      <c r="X25">
        <f t="shared" si="35"/>
        <v>0</v>
      </c>
      <c r="Y25">
        <f t="shared" si="36"/>
        <v>0</v>
      </c>
      <c r="Z25">
        <f t="shared" si="37"/>
        <v>0</v>
      </c>
      <c r="AA25">
        <f t="shared" si="38"/>
        <v>0</v>
      </c>
      <c r="AB25">
        <f t="shared" si="39"/>
        <v>0</v>
      </c>
      <c r="AC25">
        <f t="shared" si="40"/>
        <v>0</v>
      </c>
      <c r="AD25">
        <f t="shared" si="41"/>
        <v>0</v>
      </c>
      <c r="AE25">
        <f t="shared" si="42"/>
        <v>0</v>
      </c>
      <c r="AF25">
        <f t="shared" si="43"/>
        <v>0</v>
      </c>
      <c r="AG25">
        <f t="shared" si="44"/>
        <v>0</v>
      </c>
      <c r="AH25">
        <f t="shared" si="45"/>
        <v>0</v>
      </c>
      <c r="AI25">
        <f t="shared" si="46"/>
        <v>0</v>
      </c>
      <c r="AJ25">
        <f t="shared" si="47"/>
        <v>0</v>
      </c>
      <c r="AK25">
        <f t="shared" si="48"/>
        <v>0</v>
      </c>
    </row>
    <row r="26" spans="1:38" ht="23.1" customHeight="1">
      <c r="A26" s="6" t="s">
        <v>88</v>
      </c>
      <c r="B26" s="7"/>
      <c r="C26" s="8" t="s">
        <v>89</v>
      </c>
      <c r="D26" s="9">
        <v>8</v>
      </c>
      <c r="E26" s="9"/>
      <c r="F26" s="9">
        <f t="shared" si="25"/>
        <v>0</v>
      </c>
      <c r="G26" s="9"/>
      <c r="H26" s="9">
        <f t="shared" si="26"/>
        <v>0</v>
      </c>
      <c r="I26" s="9"/>
      <c r="J26" s="9">
        <f t="shared" si="27"/>
        <v>0</v>
      </c>
      <c r="K26" s="9">
        <f t="shared" si="28"/>
        <v>0</v>
      </c>
      <c r="L26" s="9">
        <f t="shared" si="28"/>
        <v>0</v>
      </c>
      <c r="M26" s="15" t="s">
        <v>87</v>
      </c>
      <c r="O26" t="str">
        <f>""</f>
        <v/>
      </c>
      <c r="P26" s="1" t="s">
        <v>44</v>
      </c>
      <c r="Q26">
        <v>1</v>
      </c>
      <c r="R26">
        <f t="shared" si="29"/>
        <v>0</v>
      </c>
      <c r="S26">
        <f t="shared" si="30"/>
        <v>0</v>
      </c>
      <c r="T26">
        <f t="shared" si="31"/>
        <v>0</v>
      </c>
      <c r="U26">
        <f t="shared" si="32"/>
        <v>0</v>
      </c>
      <c r="V26">
        <f t="shared" si="33"/>
        <v>0</v>
      </c>
      <c r="W26">
        <f t="shared" si="34"/>
        <v>0</v>
      </c>
      <c r="X26">
        <f t="shared" si="35"/>
        <v>0</v>
      </c>
      <c r="Y26">
        <f t="shared" si="36"/>
        <v>0</v>
      </c>
      <c r="Z26">
        <f t="shared" si="37"/>
        <v>0</v>
      </c>
      <c r="AA26">
        <f t="shared" si="38"/>
        <v>0</v>
      </c>
      <c r="AB26">
        <f t="shared" si="39"/>
        <v>0</v>
      </c>
      <c r="AC26">
        <f t="shared" si="40"/>
        <v>0</v>
      </c>
      <c r="AD26">
        <f t="shared" si="41"/>
        <v>0</v>
      </c>
      <c r="AE26">
        <f t="shared" si="42"/>
        <v>0</v>
      </c>
      <c r="AF26">
        <f t="shared" si="43"/>
        <v>0</v>
      </c>
      <c r="AG26">
        <f t="shared" si="44"/>
        <v>0</v>
      </c>
      <c r="AH26">
        <f t="shared" si="45"/>
        <v>0</v>
      </c>
      <c r="AI26">
        <f t="shared" si="46"/>
        <v>0</v>
      </c>
      <c r="AJ26">
        <f t="shared" si="47"/>
        <v>0</v>
      </c>
      <c r="AK26">
        <f t="shared" si="48"/>
        <v>0</v>
      </c>
    </row>
    <row r="27" spans="1:38" ht="23.1" customHeight="1">
      <c r="A27" s="6" t="s">
        <v>91</v>
      </c>
      <c r="B27" s="7"/>
      <c r="C27" s="8" t="s">
        <v>92</v>
      </c>
      <c r="D27" s="9">
        <v>0.1</v>
      </c>
      <c r="E27" s="9"/>
      <c r="F27" s="9">
        <f t="shared" si="25"/>
        <v>0</v>
      </c>
      <c r="G27" s="9"/>
      <c r="H27" s="9">
        <f t="shared" si="26"/>
        <v>0</v>
      </c>
      <c r="I27" s="9"/>
      <c r="J27" s="9">
        <f t="shared" si="27"/>
        <v>0</v>
      </c>
      <c r="K27" s="9">
        <f t="shared" si="28"/>
        <v>0</v>
      </c>
      <c r="L27" s="9">
        <f t="shared" si="28"/>
        <v>0</v>
      </c>
      <c r="M27" s="15" t="s">
        <v>90</v>
      </c>
      <c r="O27" t="str">
        <f>""</f>
        <v/>
      </c>
      <c r="P27" s="1" t="s">
        <v>44</v>
      </c>
      <c r="Q27">
        <v>1</v>
      </c>
      <c r="R27">
        <f t="shared" si="29"/>
        <v>0</v>
      </c>
      <c r="S27">
        <f t="shared" si="30"/>
        <v>0</v>
      </c>
      <c r="T27">
        <f t="shared" si="31"/>
        <v>0</v>
      </c>
      <c r="U27">
        <f t="shared" si="32"/>
        <v>0</v>
      </c>
      <c r="V27">
        <f t="shared" si="33"/>
        <v>0</v>
      </c>
      <c r="W27">
        <f t="shared" si="34"/>
        <v>0</v>
      </c>
      <c r="X27">
        <f t="shared" si="35"/>
        <v>0</v>
      </c>
      <c r="Y27">
        <f t="shared" si="36"/>
        <v>0</v>
      </c>
      <c r="Z27">
        <f t="shared" si="37"/>
        <v>0</v>
      </c>
      <c r="AA27">
        <f t="shared" si="38"/>
        <v>0</v>
      </c>
      <c r="AB27">
        <f t="shared" si="39"/>
        <v>0</v>
      </c>
      <c r="AC27">
        <f t="shared" si="40"/>
        <v>0</v>
      </c>
      <c r="AD27">
        <f t="shared" si="41"/>
        <v>0</v>
      </c>
      <c r="AE27">
        <f t="shared" si="42"/>
        <v>0</v>
      </c>
      <c r="AF27">
        <f t="shared" si="43"/>
        <v>0</v>
      </c>
      <c r="AG27">
        <f t="shared" si="44"/>
        <v>0</v>
      </c>
      <c r="AH27">
        <f t="shared" si="45"/>
        <v>0</v>
      </c>
      <c r="AI27">
        <f t="shared" si="46"/>
        <v>0</v>
      </c>
      <c r="AJ27">
        <f t="shared" si="47"/>
        <v>0</v>
      </c>
      <c r="AK27">
        <f t="shared" si="48"/>
        <v>0</v>
      </c>
    </row>
    <row r="28" spans="1:38" ht="23.1" customHeight="1">
      <c r="A28" s="7"/>
      <c r="B28" s="7"/>
      <c r="C28" s="14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38" ht="23.1" customHeight="1">
      <c r="A29" s="7"/>
      <c r="B29" s="7"/>
      <c r="C29" s="14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38" ht="23.1" customHeight="1">
      <c r="A30" s="7"/>
      <c r="B30" s="7"/>
      <c r="C30" s="14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38" ht="23.1" customHeight="1">
      <c r="A31" s="7"/>
      <c r="B31" s="7"/>
      <c r="C31" s="14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38" ht="23.1" customHeight="1">
      <c r="A32" s="7"/>
      <c r="B32" s="7"/>
      <c r="C32" s="14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38" ht="23.1" customHeight="1">
      <c r="A33" s="7"/>
      <c r="B33" s="7"/>
      <c r="C33" s="14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38" ht="23.1" customHeight="1">
      <c r="A34" s="7"/>
      <c r="B34" s="7"/>
      <c r="C34" s="14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38" ht="23.1" customHeight="1">
      <c r="A35" s="7"/>
      <c r="B35" s="7"/>
      <c r="C35" s="14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38" ht="23.1" customHeight="1">
      <c r="A36" s="10" t="s">
        <v>46</v>
      </c>
      <c r="B36" s="11"/>
      <c r="C36" s="12"/>
      <c r="D36" s="13"/>
      <c r="E36" s="13"/>
      <c r="F36" s="13">
        <f>ROUNDDOWN(SUMIF(Q22:Q27, "1", F22:F27), 0)</f>
        <v>0</v>
      </c>
      <c r="G36" s="13"/>
      <c r="H36" s="13">
        <f>ROUNDDOWN(SUMIF(Q22:Q27, "1", H22:H27), 0)</f>
        <v>0</v>
      </c>
      <c r="I36" s="13"/>
      <c r="J36" s="13">
        <f>ROUNDDOWN(SUMIF(Q22:Q27, "1", J22:J27), 0)</f>
        <v>0</v>
      </c>
      <c r="K36" s="13"/>
      <c r="L36" s="13">
        <f>F36+H36+J36</f>
        <v>0</v>
      </c>
      <c r="M36" s="13"/>
      <c r="R36">
        <f t="shared" ref="R36:AL36" si="49">ROUNDDOWN(SUM(R22:R27), 0)</f>
        <v>0</v>
      </c>
      <c r="S36">
        <f t="shared" si="49"/>
        <v>0</v>
      </c>
      <c r="T36">
        <f t="shared" si="49"/>
        <v>0</v>
      </c>
      <c r="U36">
        <f t="shared" si="49"/>
        <v>0</v>
      </c>
      <c r="V36">
        <f t="shared" si="49"/>
        <v>0</v>
      </c>
      <c r="W36">
        <f t="shared" si="49"/>
        <v>0</v>
      </c>
      <c r="X36">
        <f t="shared" si="49"/>
        <v>0</v>
      </c>
      <c r="Y36">
        <f t="shared" si="49"/>
        <v>0</v>
      </c>
      <c r="Z36">
        <f t="shared" si="49"/>
        <v>0</v>
      </c>
      <c r="AA36">
        <f t="shared" si="49"/>
        <v>0</v>
      </c>
      <c r="AB36">
        <f t="shared" si="49"/>
        <v>0</v>
      </c>
      <c r="AC36">
        <f t="shared" si="49"/>
        <v>0</v>
      </c>
      <c r="AD36">
        <f t="shared" si="49"/>
        <v>0</v>
      </c>
      <c r="AE36">
        <f t="shared" si="49"/>
        <v>0</v>
      </c>
      <c r="AF36">
        <f t="shared" si="49"/>
        <v>0</v>
      </c>
      <c r="AG36">
        <f t="shared" si="49"/>
        <v>0</v>
      </c>
      <c r="AH36">
        <f t="shared" si="49"/>
        <v>0</v>
      </c>
      <c r="AI36">
        <f t="shared" si="49"/>
        <v>0</v>
      </c>
      <c r="AJ36">
        <f t="shared" si="49"/>
        <v>0</v>
      </c>
      <c r="AK36">
        <f t="shared" si="49"/>
        <v>0</v>
      </c>
      <c r="AL36">
        <f t="shared" si="49"/>
        <v>0</v>
      </c>
    </row>
    <row r="37" spans="1:38" ht="23.1" customHeight="1">
      <c r="A37" s="52" t="s">
        <v>142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38" ht="23.1" customHeight="1">
      <c r="A38" s="6" t="s">
        <v>94</v>
      </c>
      <c r="B38" s="6" t="s">
        <v>95</v>
      </c>
      <c r="C38" s="8" t="s">
        <v>60</v>
      </c>
      <c r="D38" s="9">
        <f>+[1]수량산출서!$AL$45</f>
        <v>114.5</v>
      </c>
      <c r="E38" s="9"/>
      <c r="F38" s="9">
        <f t="shared" ref="F38:F52" si="50">ROUNDDOWN(D38*E38, 0)</f>
        <v>0</v>
      </c>
      <c r="G38" s="9"/>
      <c r="H38" s="9">
        <f t="shared" ref="H38:H52" si="51">ROUNDDOWN(D38*G38, 0)</f>
        <v>0</v>
      </c>
      <c r="I38" s="9"/>
      <c r="J38" s="9">
        <f t="shared" ref="J38:J52" si="52">ROUNDDOWN(D38*I38, 0)</f>
        <v>0</v>
      </c>
      <c r="K38" s="9">
        <f t="shared" ref="K38:K52" si="53">E38+G38+I38</f>
        <v>0</v>
      </c>
      <c r="L38" s="9">
        <f t="shared" ref="L38:L52" si="54">F38+H38+J38</f>
        <v>0</v>
      </c>
      <c r="M38" s="15" t="s">
        <v>93</v>
      </c>
      <c r="O38" t="str">
        <f>""</f>
        <v/>
      </c>
      <c r="P38" s="1" t="s">
        <v>44</v>
      </c>
      <c r="Q38">
        <v>1</v>
      </c>
      <c r="R38">
        <f t="shared" ref="R38:R52" si="55">IF(P38="기계경비", J38, 0)</f>
        <v>0</v>
      </c>
      <c r="S38">
        <f t="shared" ref="S38:S52" si="56">IF(P38="운반비", J38, 0)</f>
        <v>0</v>
      </c>
      <c r="T38">
        <f t="shared" ref="T38:T52" si="57">IF(P38="작업부산물", F38, 0)</f>
        <v>0</v>
      </c>
      <c r="U38">
        <f t="shared" ref="U38:U52" si="58">IF(P38="관급", F38, 0)</f>
        <v>0</v>
      </c>
      <c r="V38">
        <f t="shared" ref="V38:V52" si="59">IF(P38="외주비", J38, 0)</f>
        <v>0</v>
      </c>
      <c r="W38">
        <f t="shared" ref="W38:W52" si="60">IF(P38="장비비", J38, 0)</f>
        <v>0</v>
      </c>
      <c r="X38">
        <f t="shared" ref="X38:X52" si="61">IF(P38="폐기물처리비", J38, 0)</f>
        <v>0</v>
      </c>
      <c r="Y38">
        <f t="shared" ref="Y38:Y52" si="62">IF(P38="가설비", J38, 0)</f>
        <v>0</v>
      </c>
      <c r="Z38">
        <f t="shared" ref="Z38:Z52" si="63">IF(P38="잡비제외분", F38, 0)</f>
        <v>0</v>
      </c>
      <c r="AA38">
        <f t="shared" ref="AA38:AA52" si="64">IF(P38="사급자재대", L38, 0)</f>
        <v>0</v>
      </c>
      <c r="AB38">
        <f t="shared" ref="AB38:AB52" si="65">IF(P38="관급자재대", L38, 0)</f>
        <v>0</v>
      </c>
      <c r="AC38">
        <f t="shared" ref="AC38:AC52" si="66">IF(P38="설계비", L38, 0)</f>
        <v>0</v>
      </c>
      <c r="AD38">
        <f t="shared" ref="AD38:AD52" si="67">IF(P38="공사수리보고서제작", L38, 0)</f>
        <v>0</v>
      </c>
      <c r="AE38">
        <f t="shared" ref="AE38:AE52" si="68">IF(P38="사용자항목3", L38, 0)</f>
        <v>0</v>
      </c>
      <c r="AF38">
        <f t="shared" ref="AF38:AF52" si="69">IF(P38="사용자항목4", L38, 0)</f>
        <v>0</v>
      </c>
      <c r="AG38">
        <f t="shared" ref="AG38:AG52" si="70">IF(P38="사용자항목5", L38, 0)</f>
        <v>0</v>
      </c>
      <c r="AH38">
        <f t="shared" ref="AH38:AH52" si="71">IF(P38="사용자항목6", L38, 0)</f>
        <v>0</v>
      </c>
      <c r="AI38">
        <f t="shared" ref="AI38:AI52" si="72">IF(P38="사용자항목7", L38, 0)</f>
        <v>0</v>
      </c>
      <c r="AJ38">
        <f t="shared" ref="AJ38:AJ52" si="73">IF(P38="사용자항목8", L38, 0)</f>
        <v>0</v>
      </c>
      <c r="AK38">
        <f t="shared" ref="AK38:AK52" si="74">IF(P38="사용자항목9", L38, 0)</f>
        <v>0</v>
      </c>
    </row>
    <row r="39" spans="1:38" ht="23.1" customHeight="1">
      <c r="A39" s="6" t="s">
        <v>97</v>
      </c>
      <c r="B39" s="6" t="s">
        <v>98</v>
      </c>
      <c r="C39" s="8" t="s">
        <v>60</v>
      </c>
      <c r="D39" s="9">
        <f>+[1]수량산출서!$AL$46</f>
        <v>111.67</v>
      </c>
      <c r="E39" s="9"/>
      <c r="F39" s="9">
        <f t="shared" si="50"/>
        <v>0</v>
      </c>
      <c r="G39" s="9"/>
      <c r="H39" s="9">
        <f t="shared" si="51"/>
        <v>0</v>
      </c>
      <c r="I39" s="9"/>
      <c r="J39" s="9">
        <f t="shared" si="52"/>
        <v>0</v>
      </c>
      <c r="K39" s="9">
        <f t="shared" si="53"/>
        <v>0</v>
      </c>
      <c r="L39" s="9">
        <f t="shared" si="54"/>
        <v>0</v>
      </c>
      <c r="M39" s="15" t="s">
        <v>96</v>
      </c>
      <c r="O39" t="str">
        <f>""</f>
        <v/>
      </c>
      <c r="P39" s="1" t="s">
        <v>44</v>
      </c>
      <c r="Q39">
        <v>1</v>
      </c>
      <c r="R39">
        <f t="shared" si="55"/>
        <v>0</v>
      </c>
      <c r="S39">
        <f t="shared" si="56"/>
        <v>0</v>
      </c>
      <c r="T39">
        <f t="shared" si="57"/>
        <v>0</v>
      </c>
      <c r="U39">
        <f t="shared" si="58"/>
        <v>0</v>
      </c>
      <c r="V39">
        <f t="shared" si="59"/>
        <v>0</v>
      </c>
      <c r="W39">
        <f t="shared" si="60"/>
        <v>0</v>
      </c>
      <c r="X39">
        <f t="shared" si="61"/>
        <v>0</v>
      </c>
      <c r="Y39">
        <f t="shared" si="62"/>
        <v>0</v>
      </c>
      <c r="Z39">
        <f t="shared" si="63"/>
        <v>0</v>
      </c>
      <c r="AA39">
        <f t="shared" si="64"/>
        <v>0</v>
      </c>
      <c r="AB39">
        <f t="shared" si="65"/>
        <v>0</v>
      </c>
      <c r="AC39">
        <f t="shared" si="66"/>
        <v>0</v>
      </c>
      <c r="AD39">
        <f t="shared" si="67"/>
        <v>0</v>
      </c>
      <c r="AE39">
        <f t="shared" si="68"/>
        <v>0</v>
      </c>
      <c r="AF39">
        <f t="shared" si="69"/>
        <v>0</v>
      </c>
      <c r="AG39">
        <f t="shared" si="70"/>
        <v>0</v>
      </c>
      <c r="AH39">
        <f t="shared" si="71"/>
        <v>0</v>
      </c>
      <c r="AI39">
        <f t="shared" si="72"/>
        <v>0</v>
      </c>
      <c r="AJ39">
        <f t="shared" si="73"/>
        <v>0</v>
      </c>
      <c r="AK39">
        <f t="shared" si="74"/>
        <v>0</v>
      </c>
    </row>
    <row r="40" spans="1:38" ht="23.1" customHeight="1">
      <c r="A40" s="6" t="s">
        <v>100</v>
      </c>
      <c r="B40" s="6" t="s">
        <v>101</v>
      </c>
      <c r="C40" s="8" t="s">
        <v>60</v>
      </c>
      <c r="D40" s="9">
        <f>+D38</f>
        <v>114.5</v>
      </c>
      <c r="E40" s="9"/>
      <c r="F40" s="9">
        <f t="shared" si="50"/>
        <v>0</v>
      </c>
      <c r="G40" s="9"/>
      <c r="H40" s="9">
        <f t="shared" si="51"/>
        <v>0</v>
      </c>
      <c r="I40" s="9"/>
      <c r="J40" s="9">
        <f t="shared" si="52"/>
        <v>0</v>
      </c>
      <c r="K40" s="9">
        <f t="shared" si="53"/>
        <v>0</v>
      </c>
      <c r="L40" s="9">
        <f t="shared" si="54"/>
        <v>0</v>
      </c>
      <c r="M40" s="15" t="s">
        <v>99</v>
      </c>
      <c r="O40" t="str">
        <f>""</f>
        <v/>
      </c>
      <c r="P40" s="1" t="s">
        <v>44</v>
      </c>
      <c r="Q40">
        <v>1</v>
      </c>
      <c r="R40">
        <f t="shared" si="55"/>
        <v>0</v>
      </c>
      <c r="S40">
        <f t="shared" si="56"/>
        <v>0</v>
      </c>
      <c r="T40">
        <f t="shared" si="57"/>
        <v>0</v>
      </c>
      <c r="U40">
        <f t="shared" si="58"/>
        <v>0</v>
      </c>
      <c r="V40">
        <f t="shared" si="59"/>
        <v>0</v>
      </c>
      <c r="W40">
        <f t="shared" si="60"/>
        <v>0</v>
      </c>
      <c r="X40">
        <f t="shared" si="61"/>
        <v>0</v>
      </c>
      <c r="Y40">
        <f t="shared" si="62"/>
        <v>0</v>
      </c>
      <c r="Z40">
        <f t="shared" si="63"/>
        <v>0</v>
      </c>
      <c r="AA40">
        <f t="shared" si="64"/>
        <v>0</v>
      </c>
      <c r="AB40">
        <f t="shared" si="65"/>
        <v>0</v>
      </c>
      <c r="AC40">
        <f t="shared" si="66"/>
        <v>0</v>
      </c>
      <c r="AD40">
        <f t="shared" si="67"/>
        <v>0</v>
      </c>
      <c r="AE40">
        <f t="shared" si="68"/>
        <v>0</v>
      </c>
      <c r="AF40">
        <f t="shared" si="69"/>
        <v>0</v>
      </c>
      <c r="AG40">
        <f t="shared" si="70"/>
        <v>0</v>
      </c>
      <c r="AH40">
        <f t="shared" si="71"/>
        <v>0</v>
      </c>
      <c r="AI40">
        <f t="shared" si="72"/>
        <v>0</v>
      </c>
      <c r="AJ40">
        <f t="shared" si="73"/>
        <v>0</v>
      </c>
      <c r="AK40">
        <f t="shared" si="74"/>
        <v>0</v>
      </c>
    </row>
    <row r="41" spans="1:38" ht="23.1" customHeight="1">
      <c r="A41" s="6" t="s">
        <v>103</v>
      </c>
      <c r="B41" s="6" t="s">
        <v>104</v>
      </c>
      <c r="C41" s="8" t="s">
        <v>52</v>
      </c>
      <c r="D41" s="9">
        <v>1</v>
      </c>
      <c r="E41" s="9"/>
      <c r="F41" s="9">
        <f t="shared" si="50"/>
        <v>0</v>
      </c>
      <c r="G41" s="9"/>
      <c r="H41" s="9">
        <f t="shared" si="51"/>
        <v>0</v>
      </c>
      <c r="I41" s="9"/>
      <c r="J41" s="9">
        <f t="shared" si="52"/>
        <v>0</v>
      </c>
      <c r="K41" s="9">
        <f t="shared" si="53"/>
        <v>0</v>
      </c>
      <c r="L41" s="9">
        <f t="shared" si="54"/>
        <v>0</v>
      </c>
      <c r="M41" s="15" t="s">
        <v>102</v>
      </c>
      <c r="O41" t="str">
        <f>""</f>
        <v/>
      </c>
      <c r="P41" s="1" t="s">
        <v>44</v>
      </c>
      <c r="Q41">
        <v>1</v>
      </c>
      <c r="R41">
        <f t="shared" si="55"/>
        <v>0</v>
      </c>
      <c r="S41">
        <f t="shared" si="56"/>
        <v>0</v>
      </c>
      <c r="T41">
        <f t="shared" si="57"/>
        <v>0</v>
      </c>
      <c r="U41">
        <f t="shared" si="58"/>
        <v>0</v>
      </c>
      <c r="V41">
        <f t="shared" si="59"/>
        <v>0</v>
      </c>
      <c r="W41">
        <f t="shared" si="60"/>
        <v>0</v>
      </c>
      <c r="X41">
        <f t="shared" si="61"/>
        <v>0</v>
      </c>
      <c r="Y41">
        <f t="shared" si="62"/>
        <v>0</v>
      </c>
      <c r="Z41">
        <f t="shared" si="63"/>
        <v>0</v>
      </c>
      <c r="AA41">
        <f t="shared" si="64"/>
        <v>0</v>
      </c>
      <c r="AB41">
        <f t="shared" si="65"/>
        <v>0</v>
      </c>
      <c r="AC41">
        <f t="shared" si="66"/>
        <v>0</v>
      </c>
      <c r="AD41">
        <f t="shared" si="67"/>
        <v>0</v>
      </c>
      <c r="AE41">
        <f t="shared" si="68"/>
        <v>0</v>
      </c>
      <c r="AF41">
        <f t="shared" si="69"/>
        <v>0</v>
      </c>
      <c r="AG41">
        <f t="shared" si="70"/>
        <v>0</v>
      </c>
      <c r="AH41">
        <f t="shared" si="71"/>
        <v>0</v>
      </c>
      <c r="AI41">
        <f t="shared" si="72"/>
        <v>0</v>
      </c>
      <c r="AJ41">
        <f t="shared" si="73"/>
        <v>0</v>
      </c>
      <c r="AK41">
        <f t="shared" si="74"/>
        <v>0</v>
      </c>
    </row>
    <row r="42" spans="1:38" ht="23.1" customHeight="1">
      <c r="A42" s="6" t="s">
        <v>106</v>
      </c>
      <c r="B42" s="6" t="s">
        <v>95</v>
      </c>
      <c r="C42" s="8" t="s">
        <v>52</v>
      </c>
      <c r="D42" s="9">
        <f>+[1]수량산출서!$AM$46</f>
        <v>11.167000000000002</v>
      </c>
      <c r="E42" s="9"/>
      <c r="F42" s="9">
        <f t="shared" si="50"/>
        <v>0</v>
      </c>
      <c r="G42" s="9"/>
      <c r="H42" s="9">
        <f t="shared" si="51"/>
        <v>0</v>
      </c>
      <c r="I42" s="9"/>
      <c r="J42" s="9">
        <f t="shared" si="52"/>
        <v>0</v>
      </c>
      <c r="K42" s="9">
        <f t="shared" si="53"/>
        <v>0</v>
      </c>
      <c r="L42" s="9">
        <f t="shared" si="54"/>
        <v>0</v>
      </c>
      <c r="M42" s="15" t="s">
        <v>105</v>
      </c>
      <c r="O42" t="str">
        <f>""</f>
        <v/>
      </c>
      <c r="P42" s="1" t="s">
        <v>44</v>
      </c>
      <c r="Q42">
        <v>1</v>
      </c>
      <c r="R42">
        <f t="shared" si="55"/>
        <v>0</v>
      </c>
      <c r="S42">
        <f t="shared" si="56"/>
        <v>0</v>
      </c>
      <c r="T42">
        <f t="shared" si="57"/>
        <v>0</v>
      </c>
      <c r="U42">
        <f t="shared" si="58"/>
        <v>0</v>
      </c>
      <c r="V42">
        <f t="shared" si="59"/>
        <v>0</v>
      </c>
      <c r="W42">
        <f t="shared" si="60"/>
        <v>0</v>
      </c>
      <c r="X42">
        <f t="shared" si="61"/>
        <v>0</v>
      </c>
      <c r="Y42">
        <f t="shared" si="62"/>
        <v>0</v>
      </c>
      <c r="Z42">
        <f t="shared" si="63"/>
        <v>0</v>
      </c>
      <c r="AA42">
        <f t="shared" si="64"/>
        <v>0</v>
      </c>
      <c r="AB42">
        <f t="shared" si="65"/>
        <v>0</v>
      </c>
      <c r="AC42">
        <f t="shared" si="66"/>
        <v>0</v>
      </c>
      <c r="AD42">
        <f t="shared" si="67"/>
        <v>0</v>
      </c>
      <c r="AE42">
        <f t="shared" si="68"/>
        <v>0</v>
      </c>
      <c r="AF42">
        <f t="shared" si="69"/>
        <v>0</v>
      </c>
      <c r="AG42">
        <f t="shared" si="70"/>
        <v>0</v>
      </c>
      <c r="AH42">
        <f t="shared" si="71"/>
        <v>0</v>
      </c>
      <c r="AI42">
        <f t="shared" si="72"/>
        <v>0</v>
      </c>
      <c r="AJ42">
        <f t="shared" si="73"/>
        <v>0</v>
      </c>
      <c r="AK42">
        <f t="shared" si="74"/>
        <v>0</v>
      </c>
    </row>
    <row r="43" spans="1:38" ht="23.1" customHeight="1">
      <c r="A43" s="6" t="s">
        <v>108</v>
      </c>
      <c r="B43" s="6" t="s">
        <v>109</v>
      </c>
      <c r="C43" s="8" t="s">
        <v>52</v>
      </c>
      <c r="D43" s="9">
        <f>+[1]수량산출서!$AM$47</f>
        <v>8.9336000000000002</v>
      </c>
      <c r="E43" s="9"/>
      <c r="F43" s="9">
        <f t="shared" si="50"/>
        <v>0</v>
      </c>
      <c r="G43" s="9"/>
      <c r="H43" s="9">
        <f t="shared" si="51"/>
        <v>0</v>
      </c>
      <c r="I43" s="9"/>
      <c r="J43" s="9">
        <f t="shared" si="52"/>
        <v>0</v>
      </c>
      <c r="K43" s="9">
        <f t="shared" si="53"/>
        <v>0</v>
      </c>
      <c r="L43" s="9">
        <f t="shared" si="54"/>
        <v>0</v>
      </c>
      <c r="M43" s="15" t="s">
        <v>107</v>
      </c>
      <c r="O43" t="str">
        <f>""</f>
        <v/>
      </c>
      <c r="P43" s="1" t="s">
        <v>44</v>
      </c>
      <c r="Q43">
        <v>1</v>
      </c>
      <c r="R43">
        <f t="shared" si="55"/>
        <v>0</v>
      </c>
      <c r="S43">
        <f t="shared" si="56"/>
        <v>0</v>
      </c>
      <c r="T43">
        <f t="shared" si="57"/>
        <v>0</v>
      </c>
      <c r="U43">
        <f t="shared" si="58"/>
        <v>0</v>
      </c>
      <c r="V43">
        <f t="shared" si="59"/>
        <v>0</v>
      </c>
      <c r="W43">
        <f t="shared" si="60"/>
        <v>0</v>
      </c>
      <c r="X43">
        <f t="shared" si="61"/>
        <v>0</v>
      </c>
      <c r="Y43">
        <f t="shared" si="62"/>
        <v>0</v>
      </c>
      <c r="Z43">
        <f t="shared" si="63"/>
        <v>0</v>
      </c>
      <c r="AA43">
        <f t="shared" si="64"/>
        <v>0</v>
      </c>
      <c r="AB43">
        <f t="shared" si="65"/>
        <v>0</v>
      </c>
      <c r="AC43">
        <f t="shared" si="66"/>
        <v>0</v>
      </c>
      <c r="AD43">
        <f t="shared" si="67"/>
        <v>0</v>
      </c>
      <c r="AE43">
        <f t="shared" si="68"/>
        <v>0</v>
      </c>
      <c r="AF43">
        <f t="shared" si="69"/>
        <v>0</v>
      </c>
      <c r="AG43">
        <f t="shared" si="70"/>
        <v>0</v>
      </c>
      <c r="AH43">
        <f t="shared" si="71"/>
        <v>0</v>
      </c>
      <c r="AI43">
        <f t="shared" si="72"/>
        <v>0</v>
      </c>
      <c r="AJ43">
        <f t="shared" si="73"/>
        <v>0</v>
      </c>
      <c r="AK43">
        <f t="shared" si="74"/>
        <v>0</v>
      </c>
    </row>
    <row r="44" spans="1:38" ht="23.1" customHeight="1">
      <c r="A44" s="6" t="s">
        <v>111</v>
      </c>
      <c r="B44" s="6" t="s">
        <v>112</v>
      </c>
      <c r="C44" s="8" t="s">
        <v>52</v>
      </c>
      <c r="D44" s="9">
        <f>+'[1]목공사 산출근거서'!$AL$496</f>
        <v>6.7</v>
      </c>
      <c r="E44" s="9"/>
      <c r="F44" s="9">
        <f t="shared" si="50"/>
        <v>0</v>
      </c>
      <c r="G44" s="9"/>
      <c r="H44" s="9">
        <f t="shared" si="51"/>
        <v>0</v>
      </c>
      <c r="I44" s="9"/>
      <c r="J44" s="9">
        <f t="shared" si="52"/>
        <v>0</v>
      </c>
      <c r="K44" s="9">
        <f t="shared" si="53"/>
        <v>0</v>
      </c>
      <c r="L44" s="9">
        <f t="shared" si="54"/>
        <v>0</v>
      </c>
      <c r="M44" s="15" t="s">
        <v>110</v>
      </c>
      <c r="O44" t="str">
        <f>""</f>
        <v/>
      </c>
      <c r="P44" s="1" t="s">
        <v>44</v>
      </c>
      <c r="Q44">
        <v>1</v>
      </c>
      <c r="R44">
        <f t="shared" si="55"/>
        <v>0</v>
      </c>
      <c r="S44">
        <f t="shared" si="56"/>
        <v>0</v>
      </c>
      <c r="T44">
        <f t="shared" si="57"/>
        <v>0</v>
      </c>
      <c r="U44">
        <f t="shared" si="58"/>
        <v>0</v>
      </c>
      <c r="V44">
        <f t="shared" si="59"/>
        <v>0</v>
      </c>
      <c r="W44">
        <f t="shared" si="60"/>
        <v>0</v>
      </c>
      <c r="X44">
        <f t="shared" si="61"/>
        <v>0</v>
      </c>
      <c r="Y44">
        <f t="shared" si="62"/>
        <v>0</v>
      </c>
      <c r="Z44">
        <f t="shared" si="63"/>
        <v>0</v>
      </c>
      <c r="AA44">
        <f t="shared" si="64"/>
        <v>0</v>
      </c>
      <c r="AB44">
        <f t="shared" si="65"/>
        <v>0</v>
      </c>
      <c r="AC44">
        <f t="shared" si="66"/>
        <v>0</v>
      </c>
      <c r="AD44">
        <f t="shared" si="67"/>
        <v>0</v>
      </c>
      <c r="AE44">
        <f t="shared" si="68"/>
        <v>0</v>
      </c>
      <c r="AF44">
        <f t="shared" si="69"/>
        <v>0</v>
      </c>
      <c r="AG44">
        <f t="shared" si="70"/>
        <v>0</v>
      </c>
      <c r="AH44">
        <f t="shared" si="71"/>
        <v>0</v>
      </c>
      <c r="AI44">
        <f t="shared" si="72"/>
        <v>0</v>
      </c>
      <c r="AJ44">
        <f t="shared" si="73"/>
        <v>0</v>
      </c>
      <c r="AK44">
        <f t="shared" si="74"/>
        <v>0</v>
      </c>
    </row>
    <row r="45" spans="1:38" ht="23.1" customHeight="1">
      <c r="A45" s="6" t="s">
        <v>11</v>
      </c>
      <c r="B45" s="6" t="s">
        <v>12</v>
      </c>
      <c r="C45" s="8" t="s">
        <v>3</v>
      </c>
      <c r="D45" s="9">
        <f>+[1]수량산출서!$AM$50</f>
        <v>1905</v>
      </c>
      <c r="E45" s="9"/>
      <c r="F45" s="9">
        <f t="shared" si="50"/>
        <v>0</v>
      </c>
      <c r="G45" s="9"/>
      <c r="H45" s="9">
        <f t="shared" si="51"/>
        <v>0</v>
      </c>
      <c r="I45" s="9">
        <v>0</v>
      </c>
      <c r="J45" s="9">
        <f t="shared" si="52"/>
        <v>0</v>
      </c>
      <c r="K45" s="9">
        <f t="shared" si="53"/>
        <v>0</v>
      </c>
      <c r="L45" s="9">
        <f t="shared" si="54"/>
        <v>0</v>
      </c>
      <c r="M45" s="9"/>
      <c r="O45" t="str">
        <f t="shared" ref="O45:O50" si="75">"01"</f>
        <v>01</v>
      </c>
      <c r="P45" s="1" t="s">
        <v>44</v>
      </c>
      <c r="Q45">
        <v>1</v>
      </c>
      <c r="R45">
        <f t="shared" si="55"/>
        <v>0</v>
      </c>
      <c r="S45">
        <f t="shared" si="56"/>
        <v>0</v>
      </c>
      <c r="T45">
        <f t="shared" si="57"/>
        <v>0</v>
      </c>
      <c r="U45">
        <f t="shared" si="58"/>
        <v>0</v>
      </c>
      <c r="V45">
        <f t="shared" si="59"/>
        <v>0</v>
      </c>
      <c r="W45">
        <f t="shared" si="60"/>
        <v>0</v>
      </c>
      <c r="X45">
        <f t="shared" si="61"/>
        <v>0</v>
      </c>
      <c r="Y45">
        <f t="shared" si="62"/>
        <v>0</v>
      </c>
      <c r="Z45">
        <f t="shared" si="63"/>
        <v>0</v>
      </c>
      <c r="AA45">
        <f t="shared" si="64"/>
        <v>0</v>
      </c>
      <c r="AB45">
        <f t="shared" si="65"/>
        <v>0</v>
      </c>
      <c r="AC45">
        <f t="shared" si="66"/>
        <v>0</v>
      </c>
      <c r="AD45">
        <f t="shared" si="67"/>
        <v>0</v>
      </c>
      <c r="AE45">
        <f t="shared" si="68"/>
        <v>0</v>
      </c>
      <c r="AF45">
        <f t="shared" si="69"/>
        <v>0</v>
      </c>
      <c r="AG45">
        <f t="shared" si="70"/>
        <v>0</v>
      </c>
      <c r="AH45">
        <f t="shared" si="71"/>
        <v>0</v>
      </c>
      <c r="AI45">
        <f t="shared" si="72"/>
        <v>0</v>
      </c>
      <c r="AJ45">
        <f t="shared" si="73"/>
        <v>0</v>
      </c>
      <c r="AK45">
        <f t="shared" si="74"/>
        <v>0</v>
      </c>
    </row>
    <row r="46" spans="1:38" ht="23.1" customHeight="1">
      <c r="A46" s="6" t="s">
        <v>11</v>
      </c>
      <c r="B46" s="6" t="s">
        <v>13</v>
      </c>
      <c r="C46" s="8" t="s">
        <v>3</v>
      </c>
      <c r="D46" s="9">
        <f>+[1]수량산출서!$AM$51</f>
        <v>568</v>
      </c>
      <c r="E46" s="9"/>
      <c r="F46" s="9">
        <f t="shared" si="50"/>
        <v>0</v>
      </c>
      <c r="G46" s="9">
        <v>0</v>
      </c>
      <c r="H46" s="9">
        <f t="shared" si="51"/>
        <v>0</v>
      </c>
      <c r="I46" s="9">
        <v>0</v>
      </c>
      <c r="J46" s="9">
        <f t="shared" si="52"/>
        <v>0</v>
      </c>
      <c r="K46" s="9">
        <f t="shared" si="53"/>
        <v>0</v>
      </c>
      <c r="L46" s="9">
        <f t="shared" si="54"/>
        <v>0</v>
      </c>
      <c r="M46" s="9"/>
      <c r="O46" t="str">
        <f t="shared" si="75"/>
        <v>01</v>
      </c>
      <c r="P46" s="1" t="s">
        <v>44</v>
      </c>
      <c r="Q46">
        <v>1</v>
      </c>
      <c r="R46">
        <f t="shared" si="55"/>
        <v>0</v>
      </c>
      <c r="S46">
        <f t="shared" si="56"/>
        <v>0</v>
      </c>
      <c r="T46">
        <f t="shared" si="57"/>
        <v>0</v>
      </c>
      <c r="U46">
        <f t="shared" si="58"/>
        <v>0</v>
      </c>
      <c r="V46">
        <f t="shared" si="59"/>
        <v>0</v>
      </c>
      <c r="W46">
        <f t="shared" si="60"/>
        <v>0</v>
      </c>
      <c r="X46">
        <f t="shared" si="61"/>
        <v>0</v>
      </c>
      <c r="Y46">
        <f t="shared" si="62"/>
        <v>0</v>
      </c>
      <c r="Z46">
        <f t="shared" si="63"/>
        <v>0</v>
      </c>
      <c r="AA46">
        <f t="shared" si="64"/>
        <v>0</v>
      </c>
      <c r="AB46">
        <f t="shared" si="65"/>
        <v>0</v>
      </c>
      <c r="AC46">
        <f t="shared" si="66"/>
        <v>0</v>
      </c>
      <c r="AD46">
        <f t="shared" si="67"/>
        <v>0</v>
      </c>
      <c r="AE46">
        <f t="shared" si="68"/>
        <v>0</v>
      </c>
      <c r="AF46">
        <f t="shared" si="69"/>
        <v>0</v>
      </c>
      <c r="AG46">
        <f t="shared" si="70"/>
        <v>0</v>
      </c>
      <c r="AH46">
        <f t="shared" si="71"/>
        <v>0</v>
      </c>
      <c r="AI46">
        <f t="shared" si="72"/>
        <v>0</v>
      </c>
      <c r="AJ46">
        <f t="shared" si="73"/>
        <v>0</v>
      </c>
      <c r="AK46">
        <f t="shared" si="74"/>
        <v>0</v>
      </c>
    </row>
    <row r="47" spans="1:38" ht="23.1" customHeight="1">
      <c r="A47" s="6" t="s">
        <v>11</v>
      </c>
      <c r="B47" s="6" t="s">
        <v>16</v>
      </c>
      <c r="C47" s="8" t="s">
        <v>3</v>
      </c>
      <c r="D47" s="9">
        <f>+[1]수량산출서!$AM$52</f>
        <v>122</v>
      </c>
      <c r="E47" s="9"/>
      <c r="F47" s="9">
        <f t="shared" si="50"/>
        <v>0</v>
      </c>
      <c r="G47" s="9">
        <v>0</v>
      </c>
      <c r="H47" s="9">
        <f t="shared" si="51"/>
        <v>0</v>
      </c>
      <c r="I47" s="9">
        <v>0</v>
      </c>
      <c r="J47" s="9">
        <f t="shared" si="52"/>
        <v>0</v>
      </c>
      <c r="K47" s="9">
        <f t="shared" si="53"/>
        <v>0</v>
      </c>
      <c r="L47" s="9">
        <f t="shared" si="54"/>
        <v>0</v>
      </c>
      <c r="M47" s="9"/>
      <c r="O47" t="str">
        <f t="shared" si="75"/>
        <v>01</v>
      </c>
      <c r="P47" s="1" t="s">
        <v>44</v>
      </c>
      <c r="Q47">
        <v>1</v>
      </c>
      <c r="R47">
        <f t="shared" si="55"/>
        <v>0</v>
      </c>
      <c r="S47">
        <f t="shared" si="56"/>
        <v>0</v>
      </c>
      <c r="T47">
        <f t="shared" si="57"/>
        <v>0</v>
      </c>
      <c r="U47">
        <f t="shared" si="58"/>
        <v>0</v>
      </c>
      <c r="V47">
        <f t="shared" si="59"/>
        <v>0</v>
      </c>
      <c r="W47">
        <f t="shared" si="60"/>
        <v>0</v>
      </c>
      <c r="X47">
        <f t="shared" si="61"/>
        <v>0</v>
      </c>
      <c r="Y47">
        <f t="shared" si="62"/>
        <v>0</v>
      </c>
      <c r="Z47">
        <f t="shared" si="63"/>
        <v>0</v>
      </c>
      <c r="AA47">
        <f t="shared" si="64"/>
        <v>0</v>
      </c>
      <c r="AB47">
        <f t="shared" si="65"/>
        <v>0</v>
      </c>
      <c r="AC47">
        <f t="shared" si="66"/>
        <v>0</v>
      </c>
      <c r="AD47">
        <f t="shared" si="67"/>
        <v>0</v>
      </c>
      <c r="AE47">
        <f t="shared" si="68"/>
        <v>0</v>
      </c>
      <c r="AF47">
        <f t="shared" si="69"/>
        <v>0</v>
      </c>
      <c r="AG47">
        <f t="shared" si="70"/>
        <v>0</v>
      </c>
      <c r="AH47">
        <f t="shared" si="71"/>
        <v>0</v>
      </c>
      <c r="AI47">
        <f t="shared" si="72"/>
        <v>0</v>
      </c>
      <c r="AJ47">
        <f t="shared" si="73"/>
        <v>0</v>
      </c>
      <c r="AK47">
        <f t="shared" si="74"/>
        <v>0</v>
      </c>
    </row>
    <row r="48" spans="1:38" ht="23.1" customHeight="1">
      <c r="A48" s="6" t="s">
        <v>11</v>
      </c>
      <c r="B48" s="6" t="s">
        <v>14</v>
      </c>
      <c r="C48" s="8" t="s">
        <v>3</v>
      </c>
      <c r="D48" s="9">
        <f>+[1]수량산출서!$AM$53</f>
        <v>6</v>
      </c>
      <c r="E48" s="9"/>
      <c r="F48" s="9">
        <f t="shared" si="50"/>
        <v>0</v>
      </c>
      <c r="G48" s="9">
        <v>0</v>
      </c>
      <c r="H48" s="9">
        <f t="shared" si="51"/>
        <v>0</v>
      </c>
      <c r="I48" s="9">
        <v>0</v>
      </c>
      <c r="J48" s="9">
        <f t="shared" si="52"/>
        <v>0</v>
      </c>
      <c r="K48" s="9">
        <f t="shared" si="53"/>
        <v>0</v>
      </c>
      <c r="L48" s="9">
        <f t="shared" si="54"/>
        <v>0</v>
      </c>
      <c r="M48" s="9"/>
      <c r="O48" t="str">
        <f t="shared" si="75"/>
        <v>01</v>
      </c>
      <c r="P48" s="1" t="s">
        <v>44</v>
      </c>
      <c r="Q48">
        <v>1</v>
      </c>
      <c r="R48">
        <f t="shared" si="55"/>
        <v>0</v>
      </c>
      <c r="S48">
        <f t="shared" si="56"/>
        <v>0</v>
      </c>
      <c r="T48">
        <f t="shared" si="57"/>
        <v>0</v>
      </c>
      <c r="U48">
        <f t="shared" si="58"/>
        <v>0</v>
      </c>
      <c r="V48">
        <f t="shared" si="59"/>
        <v>0</v>
      </c>
      <c r="W48">
        <f t="shared" si="60"/>
        <v>0</v>
      </c>
      <c r="X48">
        <f t="shared" si="61"/>
        <v>0</v>
      </c>
      <c r="Y48">
        <f t="shared" si="62"/>
        <v>0</v>
      </c>
      <c r="Z48">
        <f t="shared" si="63"/>
        <v>0</v>
      </c>
      <c r="AA48">
        <f t="shared" si="64"/>
        <v>0</v>
      </c>
      <c r="AB48">
        <f t="shared" si="65"/>
        <v>0</v>
      </c>
      <c r="AC48">
        <f t="shared" si="66"/>
        <v>0</v>
      </c>
      <c r="AD48">
        <f t="shared" si="67"/>
        <v>0</v>
      </c>
      <c r="AE48">
        <f t="shared" si="68"/>
        <v>0</v>
      </c>
      <c r="AF48">
        <f t="shared" si="69"/>
        <v>0</v>
      </c>
      <c r="AG48">
        <f t="shared" si="70"/>
        <v>0</v>
      </c>
      <c r="AH48">
        <f t="shared" si="71"/>
        <v>0</v>
      </c>
      <c r="AI48">
        <f t="shared" si="72"/>
        <v>0</v>
      </c>
      <c r="AJ48">
        <f t="shared" si="73"/>
        <v>0</v>
      </c>
      <c r="AK48">
        <f t="shared" si="74"/>
        <v>0</v>
      </c>
    </row>
    <row r="49" spans="1:37" ht="23.1" customHeight="1">
      <c r="A49" s="6" t="s">
        <v>11</v>
      </c>
      <c r="B49" s="6" t="s">
        <v>15</v>
      </c>
      <c r="C49" s="8" t="s">
        <v>3</v>
      </c>
      <c r="D49" s="9">
        <f>+[1]수량산출서!$AM$54</f>
        <v>6</v>
      </c>
      <c r="E49" s="9"/>
      <c r="F49" s="9">
        <f t="shared" si="50"/>
        <v>0</v>
      </c>
      <c r="G49" s="9">
        <v>0</v>
      </c>
      <c r="H49" s="9">
        <f t="shared" si="51"/>
        <v>0</v>
      </c>
      <c r="I49" s="9">
        <v>0</v>
      </c>
      <c r="J49" s="9">
        <f t="shared" si="52"/>
        <v>0</v>
      </c>
      <c r="K49" s="9">
        <f t="shared" si="53"/>
        <v>0</v>
      </c>
      <c r="L49" s="9">
        <f t="shared" si="54"/>
        <v>0</v>
      </c>
      <c r="M49" s="9"/>
      <c r="O49" t="str">
        <f t="shared" si="75"/>
        <v>01</v>
      </c>
      <c r="P49" s="1" t="s">
        <v>44</v>
      </c>
      <c r="Q49">
        <v>1</v>
      </c>
      <c r="R49">
        <f t="shared" si="55"/>
        <v>0</v>
      </c>
      <c r="S49">
        <f t="shared" si="56"/>
        <v>0</v>
      </c>
      <c r="T49">
        <f t="shared" si="57"/>
        <v>0</v>
      </c>
      <c r="U49">
        <f t="shared" si="58"/>
        <v>0</v>
      </c>
      <c r="V49">
        <f t="shared" si="59"/>
        <v>0</v>
      </c>
      <c r="W49">
        <f t="shared" si="60"/>
        <v>0</v>
      </c>
      <c r="X49">
        <f t="shared" si="61"/>
        <v>0</v>
      </c>
      <c r="Y49">
        <f t="shared" si="62"/>
        <v>0</v>
      </c>
      <c r="Z49">
        <f t="shared" si="63"/>
        <v>0</v>
      </c>
      <c r="AA49">
        <f t="shared" si="64"/>
        <v>0</v>
      </c>
      <c r="AB49">
        <f t="shared" si="65"/>
        <v>0</v>
      </c>
      <c r="AC49">
        <f t="shared" si="66"/>
        <v>0</v>
      </c>
      <c r="AD49">
        <f t="shared" si="67"/>
        <v>0</v>
      </c>
      <c r="AE49">
        <f t="shared" si="68"/>
        <v>0</v>
      </c>
      <c r="AF49">
        <f t="shared" si="69"/>
        <v>0</v>
      </c>
      <c r="AG49">
        <f t="shared" si="70"/>
        <v>0</v>
      </c>
      <c r="AH49">
        <f t="shared" si="71"/>
        <v>0</v>
      </c>
      <c r="AI49">
        <f t="shared" si="72"/>
        <v>0</v>
      </c>
      <c r="AJ49">
        <f t="shared" si="73"/>
        <v>0</v>
      </c>
      <c r="AK49">
        <f t="shared" si="74"/>
        <v>0</v>
      </c>
    </row>
    <row r="50" spans="1:37" ht="23.1" customHeight="1">
      <c r="A50" s="6" t="s">
        <v>18</v>
      </c>
      <c r="B50" s="6" t="s">
        <v>19</v>
      </c>
      <c r="C50" s="8" t="s">
        <v>20</v>
      </c>
      <c r="D50" s="9">
        <v>123</v>
      </c>
      <c r="E50" s="9"/>
      <c r="F50" s="9">
        <f t="shared" si="50"/>
        <v>0</v>
      </c>
      <c r="G50" s="9">
        <v>0</v>
      </c>
      <c r="H50" s="9">
        <f t="shared" si="51"/>
        <v>0</v>
      </c>
      <c r="I50" s="9">
        <v>0</v>
      </c>
      <c r="J50" s="9">
        <f t="shared" si="52"/>
        <v>0</v>
      </c>
      <c r="K50" s="9">
        <f t="shared" si="53"/>
        <v>0</v>
      </c>
      <c r="L50" s="9">
        <f t="shared" si="54"/>
        <v>0</v>
      </c>
      <c r="M50" s="15" t="s">
        <v>21</v>
      </c>
      <c r="O50" t="str">
        <f t="shared" si="75"/>
        <v>01</v>
      </c>
      <c r="P50" s="1" t="s">
        <v>44</v>
      </c>
      <c r="Q50">
        <v>1</v>
      </c>
      <c r="R50">
        <f t="shared" si="55"/>
        <v>0</v>
      </c>
      <c r="S50">
        <f t="shared" si="56"/>
        <v>0</v>
      </c>
      <c r="T50">
        <f t="shared" si="57"/>
        <v>0</v>
      </c>
      <c r="U50">
        <f t="shared" si="58"/>
        <v>0</v>
      </c>
      <c r="V50">
        <f t="shared" si="59"/>
        <v>0</v>
      </c>
      <c r="W50">
        <f t="shared" si="60"/>
        <v>0</v>
      </c>
      <c r="X50">
        <f t="shared" si="61"/>
        <v>0</v>
      </c>
      <c r="Y50">
        <f t="shared" si="62"/>
        <v>0</v>
      </c>
      <c r="Z50">
        <f t="shared" si="63"/>
        <v>0</v>
      </c>
      <c r="AA50">
        <f t="shared" si="64"/>
        <v>0</v>
      </c>
      <c r="AB50">
        <f t="shared" si="65"/>
        <v>0</v>
      </c>
      <c r="AC50">
        <f t="shared" si="66"/>
        <v>0</v>
      </c>
      <c r="AD50">
        <f t="shared" si="67"/>
        <v>0</v>
      </c>
      <c r="AE50">
        <f t="shared" si="68"/>
        <v>0</v>
      </c>
      <c r="AF50">
        <f t="shared" si="69"/>
        <v>0</v>
      </c>
      <c r="AG50">
        <f t="shared" si="70"/>
        <v>0</v>
      </c>
      <c r="AH50">
        <f t="shared" si="71"/>
        <v>0</v>
      </c>
      <c r="AI50">
        <f t="shared" si="72"/>
        <v>0</v>
      </c>
      <c r="AJ50">
        <f t="shared" si="73"/>
        <v>0</v>
      </c>
      <c r="AK50">
        <f t="shared" si="74"/>
        <v>0</v>
      </c>
    </row>
    <row r="51" spans="1:37" ht="23.1" customHeight="1">
      <c r="A51" s="6" t="s">
        <v>114</v>
      </c>
      <c r="B51" s="7"/>
      <c r="C51" s="8" t="s">
        <v>115</v>
      </c>
      <c r="D51" s="9">
        <f>+[1]운반공사!$V$36</f>
        <v>3116.2840000000001</v>
      </c>
      <c r="E51" s="9"/>
      <c r="F51" s="9">
        <f t="shared" si="50"/>
        <v>0</v>
      </c>
      <c r="G51" s="9"/>
      <c r="H51" s="9">
        <f t="shared" si="51"/>
        <v>0</v>
      </c>
      <c r="I51" s="9"/>
      <c r="J51" s="9">
        <f t="shared" si="52"/>
        <v>0</v>
      </c>
      <c r="K51" s="9">
        <f t="shared" si="53"/>
        <v>0</v>
      </c>
      <c r="L51" s="9">
        <f t="shared" si="54"/>
        <v>0</v>
      </c>
      <c r="M51" s="15" t="s">
        <v>113</v>
      </c>
      <c r="O51" t="str">
        <f>""</f>
        <v/>
      </c>
      <c r="P51" s="1" t="s">
        <v>44</v>
      </c>
      <c r="Q51">
        <v>1</v>
      </c>
      <c r="R51">
        <f t="shared" si="55"/>
        <v>0</v>
      </c>
      <c r="S51">
        <f t="shared" si="56"/>
        <v>0</v>
      </c>
      <c r="T51">
        <f t="shared" si="57"/>
        <v>0</v>
      </c>
      <c r="U51">
        <f t="shared" si="58"/>
        <v>0</v>
      </c>
      <c r="V51">
        <f t="shared" si="59"/>
        <v>0</v>
      </c>
      <c r="W51">
        <f t="shared" si="60"/>
        <v>0</v>
      </c>
      <c r="X51">
        <f t="shared" si="61"/>
        <v>0</v>
      </c>
      <c r="Y51">
        <f t="shared" si="62"/>
        <v>0</v>
      </c>
      <c r="Z51">
        <f t="shared" si="63"/>
        <v>0</v>
      </c>
      <c r="AA51">
        <f t="shared" si="64"/>
        <v>0</v>
      </c>
      <c r="AB51">
        <f t="shared" si="65"/>
        <v>0</v>
      </c>
      <c r="AC51">
        <f t="shared" si="66"/>
        <v>0</v>
      </c>
      <c r="AD51">
        <f t="shared" si="67"/>
        <v>0</v>
      </c>
      <c r="AE51">
        <f t="shared" si="68"/>
        <v>0</v>
      </c>
      <c r="AF51">
        <f t="shared" si="69"/>
        <v>0</v>
      </c>
      <c r="AG51">
        <f t="shared" si="70"/>
        <v>0</v>
      </c>
      <c r="AH51">
        <f t="shared" si="71"/>
        <v>0</v>
      </c>
      <c r="AI51">
        <f t="shared" si="72"/>
        <v>0</v>
      </c>
      <c r="AJ51">
        <f t="shared" si="73"/>
        <v>0</v>
      </c>
      <c r="AK51">
        <f t="shared" si="74"/>
        <v>0</v>
      </c>
    </row>
    <row r="52" spans="1:37" ht="23.1" customHeight="1">
      <c r="A52" s="6" t="s">
        <v>25</v>
      </c>
      <c r="B52" s="6" t="s">
        <v>24</v>
      </c>
      <c r="C52" s="8" t="s">
        <v>22</v>
      </c>
      <c r="D52" s="9">
        <v>5.71</v>
      </c>
      <c r="E52" s="9"/>
      <c r="F52" s="9">
        <f t="shared" si="50"/>
        <v>0</v>
      </c>
      <c r="G52" s="9"/>
      <c r="H52" s="9">
        <f t="shared" si="51"/>
        <v>0</v>
      </c>
      <c r="I52" s="9">
        <v>0</v>
      </c>
      <c r="J52" s="9">
        <f t="shared" si="52"/>
        <v>0</v>
      </c>
      <c r="K52" s="9">
        <f t="shared" si="53"/>
        <v>0</v>
      </c>
      <c r="L52" s="9">
        <f t="shared" si="54"/>
        <v>0</v>
      </c>
      <c r="M52" s="9"/>
      <c r="O52" t="str">
        <f>"02"</f>
        <v>02</v>
      </c>
      <c r="P52" s="1" t="s">
        <v>44</v>
      </c>
      <c r="Q52">
        <v>1</v>
      </c>
      <c r="R52">
        <f t="shared" si="55"/>
        <v>0</v>
      </c>
      <c r="S52">
        <f t="shared" si="56"/>
        <v>0</v>
      </c>
      <c r="T52">
        <f t="shared" si="57"/>
        <v>0</v>
      </c>
      <c r="U52">
        <f t="shared" si="58"/>
        <v>0</v>
      </c>
      <c r="V52">
        <f t="shared" si="59"/>
        <v>0</v>
      </c>
      <c r="W52">
        <f t="shared" si="60"/>
        <v>0</v>
      </c>
      <c r="X52">
        <f t="shared" si="61"/>
        <v>0</v>
      </c>
      <c r="Y52">
        <f t="shared" si="62"/>
        <v>0</v>
      </c>
      <c r="Z52">
        <f t="shared" si="63"/>
        <v>0</v>
      </c>
      <c r="AA52">
        <f t="shared" si="64"/>
        <v>0</v>
      </c>
      <c r="AB52">
        <f t="shared" si="65"/>
        <v>0</v>
      </c>
      <c r="AC52">
        <f t="shared" si="66"/>
        <v>0</v>
      </c>
      <c r="AD52">
        <f t="shared" si="67"/>
        <v>0</v>
      </c>
      <c r="AE52">
        <f t="shared" si="68"/>
        <v>0</v>
      </c>
      <c r="AF52">
        <f t="shared" si="69"/>
        <v>0</v>
      </c>
      <c r="AG52">
        <f t="shared" si="70"/>
        <v>0</v>
      </c>
      <c r="AH52">
        <f t="shared" si="71"/>
        <v>0</v>
      </c>
      <c r="AI52">
        <f t="shared" si="72"/>
        <v>0</v>
      </c>
      <c r="AJ52">
        <f t="shared" si="73"/>
        <v>0</v>
      </c>
      <c r="AK52">
        <f t="shared" si="74"/>
        <v>0</v>
      </c>
    </row>
    <row r="53" spans="1:37" ht="23.1" customHeight="1">
      <c r="A53" s="7"/>
      <c r="B53" s="7"/>
      <c r="C53" s="14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37" ht="23.1" customHeight="1">
      <c r="A54" s="7"/>
      <c r="B54" s="7"/>
      <c r="C54" s="14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37" ht="23.1" customHeight="1">
      <c r="A55" s="7"/>
      <c r="B55" s="7"/>
      <c r="C55" s="14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37" ht="23.1" customHeight="1">
      <c r="A56" s="7"/>
      <c r="B56" s="7"/>
      <c r="C56" s="14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37" ht="23.1" customHeight="1">
      <c r="A57" s="7"/>
      <c r="B57" s="7"/>
      <c r="C57" s="14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37" ht="23.1" customHeight="1">
      <c r="A58" s="7"/>
      <c r="B58" s="7"/>
      <c r="C58" s="14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37" ht="23.1" customHeight="1">
      <c r="A59" s="7"/>
      <c r="B59" s="7"/>
      <c r="C59" s="14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37" ht="23.1" customHeight="1">
      <c r="A60" s="7"/>
      <c r="B60" s="7"/>
      <c r="C60" s="14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37" ht="23.1" customHeight="1">
      <c r="A61" s="7"/>
      <c r="B61" s="7"/>
      <c r="C61" s="14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37" ht="23.1" customHeight="1">
      <c r="A62" s="7"/>
      <c r="B62" s="7"/>
      <c r="C62" s="14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37" ht="23.1" customHeight="1">
      <c r="A63" s="7"/>
      <c r="B63" s="7"/>
      <c r="C63" s="14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37" ht="23.1" customHeight="1">
      <c r="A64" s="7"/>
      <c r="B64" s="7"/>
      <c r="C64" s="14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38" ht="23.1" customHeight="1">
      <c r="A65" s="7"/>
      <c r="B65" s="7"/>
      <c r="C65" s="14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38" ht="23.1" customHeight="1">
      <c r="A66" s="7"/>
      <c r="B66" s="7"/>
      <c r="C66" s="14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38" ht="23.1" customHeight="1">
      <c r="A67" s="7"/>
      <c r="B67" s="7"/>
      <c r="C67" s="14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38" ht="23.1" customHeight="1">
      <c r="A68" s="10" t="s">
        <v>46</v>
      </c>
      <c r="B68" s="11"/>
      <c r="C68" s="12"/>
      <c r="D68" s="13"/>
      <c r="E68" s="13"/>
      <c r="F68" s="13">
        <f>ROUNDDOWN(SUMIF(Q38:Q52, "1", F38:F52), 0)</f>
        <v>0</v>
      </c>
      <c r="G68" s="13"/>
      <c r="H68" s="13">
        <f>ROUNDDOWN(SUMIF(Q38:Q52, "1", H38:H52), 0)</f>
        <v>0</v>
      </c>
      <c r="I68" s="13"/>
      <c r="J68" s="13">
        <f>ROUNDDOWN(SUMIF(Q38:Q52, "1", J38:J52), 0)</f>
        <v>0</v>
      </c>
      <c r="K68" s="13"/>
      <c r="L68" s="13">
        <f>F68+H68+J68</f>
        <v>0</v>
      </c>
      <c r="M68" s="13"/>
      <c r="R68">
        <f t="shared" ref="R68:AL68" si="76">ROUNDDOWN(SUM(R38:R52), 0)</f>
        <v>0</v>
      </c>
      <c r="S68">
        <f t="shared" si="76"/>
        <v>0</v>
      </c>
      <c r="T68">
        <f t="shared" si="76"/>
        <v>0</v>
      </c>
      <c r="U68">
        <f t="shared" si="76"/>
        <v>0</v>
      </c>
      <c r="V68">
        <f t="shared" si="76"/>
        <v>0</v>
      </c>
      <c r="W68">
        <f t="shared" si="76"/>
        <v>0</v>
      </c>
      <c r="X68">
        <f t="shared" si="76"/>
        <v>0</v>
      </c>
      <c r="Y68">
        <f t="shared" si="76"/>
        <v>0</v>
      </c>
      <c r="Z68">
        <f t="shared" si="76"/>
        <v>0</v>
      </c>
      <c r="AA68">
        <f t="shared" si="76"/>
        <v>0</v>
      </c>
      <c r="AB68">
        <f t="shared" si="76"/>
        <v>0</v>
      </c>
      <c r="AC68">
        <f t="shared" si="76"/>
        <v>0</v>
      </c>
      <c r="AD68">
        <f t="shared" si="76"/>
        <v>0</v>
      </c>
      <c r="AE68">
        <f t="shared" si="76"/>
        <v>0</v>
      </c>
      <c r="AF68">
        <f t="shared" si="76"/>
        <v>0</v>
      </c>
      <c r="AG68">
        <f t="shared" si="76"/>
        <v>0</v>
      </c>
      <c r="AH68">
        <f t="shared" si="76"/>
        <v>0</v>
      </c>
      <c r="AI68">
        <f t="shared" si="76"/>
        <v>0</v>
      </c>
      <c r="AJ68">
        <f t="shared" si="76"/>
        <v>0</v>
      </c>
      <c r="AK68">
        <f t="shared" si="76"/>
        <v>0</v>
      </c>
      <c r="AL68">
        <f t="shared" si="76"/>
        <v>0</v>
      </c>
    </row>
    <row r="69" spans="1:38" ht="23.1" customHeight="1">
      <c r="A69" s="52" t="s">
        <v>143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38" ht="23.1" customHeight="1">
      <c r="A70" s="6" t="s">
        <v>50</v>
      </c>
      <c r="B70" s="6" t="s">
        <v>51</v>
      </c>
      <c r="C70" s="8" t="s">
        <v>52</v>
      </c>
      <c r="D70" s="29">
        <f>+[1]운반공사!$T$36</f>
        <v>36.745599999999996</v>
      </c>
      <c r="E70" s="9" t="e">
        <f>#REF!</f>
        <v>#REF!</v>
      </c>
      <c r="F70" s="9" t="e">
        <f>ROUNDDOWN(D70*E70, 0)</f>
        <v>#REF!</v>
      </c>
      <c r="G70" s="9" t="e">
        <f>#REF!</f>
        <v>#REF!</v>
      </c>
      <c r="H70" s="9" t="e">
        <f>ROUNDDOWN(D70*G70, 0)</f>
        <v>#REF!</v>
      </c>
      <c r="I70" s="9"/>
      <c r="J70" s="9">
        <f>ROUNDDOWN(D70*I70, 0)</f>
        <v>0</v>
      </c>
      <c r="K70" s="9" t="e">
        <f t="shared" ref="K70:L72" si="77">E70+G70+I70</f>
        <v>#REF!</v>
      </c>
      <c r="L70" s="9" t="e">
        <f t="shared" si="77"/>
        <v>#REF!</v>
      </c>
      <c r="M70" s="15" t="s">
        <v>49</v>
      </c>
      <c r="O70" t="str">
        <f>""</f>
        <v/>
      </c>
      <c r="P70" s="1" t="s">
        <v>44</v>
      </c>
      <c r="Q70">
        <v>1</v>
      </c>
      <c r="R70">
        <f>IF(P70="기계경비", J70, 0)</f>
        <v>0</v>
      </c>
      <c r="S70">
        <f>IF(P70="운반비", J70, 0)</f>
        <v>0</v>
      </c>
      <c r="T70">
        <f>IF(P70="작업부산물", F70, 0)</f>
        <v>0</v>
      </c>
      <c r="U70">
        <f>IF(P70="관급", F70, 0)</f>
        <v>0</v>
      </c>
      <c r="V70">
        <f>IF(P70="외주비", J70, 0)</f>
        <v>0</v>
      </c>
      <c r="W70">
        <f>IF(P70="장비비", J70, 0)</f>
        <v>0</v>
      </c>
      <c r="X70">
        <f>IF(P70="폐기물처리비", J70, 0)</f>
        <v>0</v>
      </c>
      <c r="Y70">
        <f>IF(P70="가설비", J70, 0)</f>
        <v>0</v>
      </c>
      <c r="Z70">
        <f>IF(P70="잡비제외분", F70, 0)</f>
        <v>0</v>
      </c>
      <c r="AA70">
        <f>IF(P70="사급자재대", L70, 0)</f>
        <v>0</v>
      </c>
      <c r="AB70">
        <f>IF(P70="관급자재대", L70, 0)</f>
        <v>0</v>
      </c>
      <c r="AC70">
        <f>IF(P70="설계비", L70, 0)</f>
        <v>0</v>
      </c>
      <c r="AD70">
        <f>IF(P70="공사수리보고서제작", L70, 0)</f>
        <v>0</v>
      </c>
      <c r="AE70">
        <f>IF(P70="사용자항목3", L70, 0)</f>
        <v>0</v>
      </c>
      <c r="AF70">
        <f>IF(P70="사용자항목4", L70, 0)</f>
        <v>0</v>
      </c>
      <c r="AG70">
        <f>IF(P70="사용자항목5", L70, 0)</f>
        <v>0</v>
      </c>
      <c r="AH70">
        <f>IF(P70="사용자항목6", L70, 0)</f>
        <v>0</v>
      </c>
      <c r="AI70">
        <f>IF(P70="사용자항목7", L70, 0)</f>
        <v>0</v>
      </c>
      <c r="AJ70">
        <f>IF(P70="사용자항목8", L70, 0)</f>
        <v>0</v>
      </c>
      <c r="AK70">
        <f>IF(P70="사용자항목9", L70, 0)</f>
        <v>0</v>
      </c>
    </row>
    <row r="71" spans="1:38" ht="23.1" customHeight="1">
      <c r="A71" s="6" t="s">
        <v>54</v>
      </c>
      <c r="B71" s="6" t="s">
        <v>55</v>
      </c>
      <c r="C71" s="8" t="s">
        <v>28</v>
      </c>
      <c r="D71" s="29">
        <f>+[1]운반공사!$AB$36</f>
        <v>0.24000000000000002</v>
      </c>
      <c r="E71" s="9" t="e">
        <f>#REF!</f>
        <v>#REF!</v>
      </c>
      <c r="F71" s="9" t="e">
        <f>ROUNDDOWN(D71*E71, 0)</f>
        <v>#REF!</v>
      </c>
      <c r="G71" s="9" t="e">
        <f>#REF!</f>
        <v>#REF!</v>
      </c>
      <c r="H71" s="9" t="e">
        <f>ROUNDDOWN(D71*G71, 0)</f>
        <v>#REF!</v>
      </c>
      <c r="I71" s="9"/>
      <c r="J71" s="9">
        <f>ROUNDDOWN(D71*I71, 0)</f>
        <v>0</v>
      </c>
      <c r="K71" s="9" t="e">
        <f t="shared" si="77"/>
        <v>#REF!</v>
      </c>
      <c r="L71" s="9" t="e">
        <f t="shared" si="77"/>
        <v>#REF!</v>
      </c>
      <c r="M71" s="15" t="s">
        <v>53</v>
      </c>
      <c r="O71" t="str">
        <f>""</f>
        <v/>
      </c>
      <c r="P71" s="1" t="s">
        <v>44</v>
      </c>
      <c r="Q71">
        <v>1</v>
      </c>
      <c r="R71">
        <f>IF(P71="기계경비", J71, 0)</f>
        <v>0</v>
      </c>
      <c r="S71">
        <f>IF(P71="운반비", J71, 0)</f>
        <v>0</v>
      </c>
      <c r="T71">
        <f>IF(P71="작업부산물", F71, 0)</f>
        <v>0</v>
      </c>
      <c r="U71">
        <f>IF(P71="관급", F71, 0)</f>
        <v>0</v>
      </c>
      <c r="V71">
        <f>IF(P71="외주비", J71, 0)</f>
        <v>0</v>
      </c>
      <c r="W71">
        <f>IF(P71="장비비", J71, 0)</f>
        <v>0</v>
      </c>
      <c r="X71">
        <f>IF(P71="폐기물처리비", J71, 0)</f>
        <v>0</v>
      </c>
      <c r="Y71">
        <f>IF(P71="가설비", J71, 0)</f>
        <v>0</v>
      </c>
      <c r="Z71">
        <f>IF(P71="잡비제외분", F71, 0)</f>
        <v>0</v>
      </c>
      <c r="AA71">
        <f>IF(P71="사급자재대", L71, 0)</f>
        <v>0</v>
      </c>
      <c r="AB71">
        <f>IF(P71="관급자재대", L71, 0)</f>
        <v>0</v>
      </c>
      <c r="AC71">
        <f>IF(P71="설계비", L71, 0)</f>
        <v>0</v>
      </c>
      <c r="AD71">
        <f>IF(P71="공사수리보고서제작", L71, 0)</f>
        <v>0</v>
      </c>
      <c r="AE71">
        <f>IF(P71="사용자항목3", L71, 0)</f>
        <v>0</v>
      </c>
      <c r="AF71">
        <f>IF(P71="사용자항목4", L71, 0)</f>
        <v>0</v>
      </c>
      <c r="AG71">
        <f>IF(P71="사용자항목5", L71, 0)</f>
        <v>0</v>
      </c>
      <c r="AH71">
        <f>IF(P71="사용자항목6", L71, 0)</f>
        <v>0</v>
      </c>
      <c r="AI71">
        <f>IF(P71="사용자항목7", L71, 0)</f>
        <v>0</v>
      </c>
      <c r="AJ71">
        <f>IF(P71="사용자항목8", L71, 0)</f>
        <v>0</v>
      </c>
      <c r="AK71">
        <f>IF(P71="사용자항목9", L71, 0)</f>
        <v>0</v>
      </c>
    </row>
    <row r="72" spans="1:38" ht="23.1" customHeight="1">
      <c r="A72" s="6" t="s">
        <v>26</v>
      </c>
      <c r="B72" s="6" t="s">
        <v>27</v>
      </c>
      <c r="C72" s="8" t="s">
        <v>28</v>
      </c>
      <c r="D72" s="9">
        <f>+[1]수량산출서!$N$101</f>
        <v>45.379999999999995</v>
      </c>
      <c r="E72" s="9">
        <v>0</v>
      </c>
      <c r="F72" s="9">
        <f>ROUNDDOWN(D72*E72, 0)</f>
        <v>0</v>
      </c>
      <c r="G72" s="9">
        <v>0</v>
      </c>
      <c r="H72" s="9">
        <f>ROUNDDOWN(D72*G72, 0)</f>
        <v>0</v>
      </c>
      <c r="I72" s="9"/>
      <c r="J72" s="9">
        <f>ROUNDDOWN(D72*I72, 0)</f>
        <v>0</v>
      </c>
      <c r="K72" s="9">
        <f t="shared" si="77"/>
        <v>0</v>
      </c>
      <c r="L72" s="9">
        <f t="shared" si="77"/>
        <v>0</v>
      </c>
      <c r="M72" s="15" t="s">
        <v>29</v>
      </c>
      <c r="O72" t="str">
        <f>"03"</f>
        <v>03</v>
      </c>
      <c r="P72" s="1" t="s">
        <v>44</v>
      </c>
      <c r="Q72">
        <v>1</v>
      </c>
      <c r="R72">
        <f>IF(P72="기계경비", J72, 0)</f>
        <v>0</v>
      </c>
      <c r="S72">
        <f>IF(P72="운반비", J72, 0)</f>
        <v>0</v>
      </c>
      <c r="T72">
        <f>IF(P72="작업부산물", F72, 0)</f>
        <v>0</v>
      </c>
      <c r="U72">
        <f>IF(P72="관급", F72, 0)</f>
        <v>0</v>
      </c>
      <c r="V72">
        <f>IF(P72="외주비", J72, 0)</f>
        <v>0</v>
      </c>
      <c r="W72">
        <f>IF(P72="장비비", J72, 0)</f>
        <v>0</v>
      </c>
      <c r="X72">
        <f>IF(P72="폐기물처리비", J72, 0)</f>
        <v>0</v>
      </c>
      <c r="Y72">
        <f>IF(P72="가설비", J72, 0)</f>
        <v>0</v>
      </c>
      <c r="Z72">
        <f>IF(P72="잡비제외분", F72, 0)</f>
        <v>0</v>
      </c>
      <c r="AA72">
        <f>IF(P72="사급자재대", L72, 0)</f>
        <v>0</v>
      </c>
      <c r="AB72">
        <f>IF(P72="관급자재대", L72, 0)</f>
        <v>0</v>
      </c>
      <c r="AC72">
        <f>IF(P72="설계비", L72, 0)</f>
        <v>0</v>
      </c>
      <c r="AD72">
        <f>IF(P72="공사수리보고서제작", L72, 0)</f>
        <v>0</v>
      </c>
      <c r="AE72">
        <f>IF(P72="사용자항목3", L72, 0)</f>
        <v>0</v>
      </c>
      <c r="AF72">
        <f>IF(P72="사용자항목4", L72, 0)</f>
        <v>0</v>
      </c>
      <c r="AG72">
        <f>IF(P72="사용자항목5", L72, 0)</f>
        <v>0</v>
      </c>
      <c r="AH72">
        <f>IF(P72="사용자항목6", L72, 0)</f>
        <v>0</v>
      </c>
      <c r="AI72">
        <f>IF(P72="사용자항목7", L72, 0)</f>
        <v>0</v>
      </c>
      <c r="AJ72">
        <f>IF(P72="사용자항목8", L72, 0)</f>
        <v>0</v>
      </c>
      <c r="AK72">
        <f>IF(P72="사용자항목9", L72, 0)</f>
        <v>0</v>
      </c>
    </row>
    <row r="73" spans="1:38" ht="23.1" customHeight="1">
      <c r="A73" s="7"/>
      <c r="B73" s="7"/>
      <c r="C73" s="14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38" ht="23.1" customHeight="1">
      <c r="A74" s="7"/>
      <c r="B74" s="7"/>
      <c r="C74" s="14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38" ht="23.1" customHeight="1">
      <c r="A75" s="7"/>
      <c r="B75" s="7"/>
      <c r="C75" s="14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38" ht="23.1" customHeight="1">
      <c r="A76" s="7"/>
      <c r="B76" s="7"/>
      <c r="C76" s="14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38" ht="23.1" customHeight="1">
      <c r="A77" s="7"/>
      <c r="B77" s="7"/>
      <c r="C77" s="14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38" ht="23.1" customHeight="1">
      <c r="A78" s="7"/>
      <c r="B78" s="7"/>
      <c r="C78" s="14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38" ht="23.1" customHeight="1">
      <c r="A79" s="7"/>
      <c r="B79" s="7"/>
      <c r="C79" s="14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38" ht="23.1" customHeight="1">
      <c r="A80" s="7"/>
      <c r="B80" s="7"/>
      <c r="C80" s="14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38" ht="23.1" customHeight="1">
      <c r="A81" s="7"/>
      <c r="B81" s="7"/>
      <c r="C81" s="14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38" ht="23.1" customHeight="1">
      <c r="A82" s="7"/>
      <c r="B82" s="7"/>
      <c r="C82" s="14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38" ht="23.1" customHeight="1">
      <c r="A83" s="7"/>
      <c r="B83" s="7"/>
      <c r="C83" s="14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38" ht="23.1" customHeight="1">
      <c r="A84" s="10" t="s">
        <v>46</v>
      </c>
      <c r="B84" s="11"/>
      <c r="C84" s="12"/>
      <c r="D84" s="13"/>
      <c r="E84" s="13"/>
      <c r="F84" s="13" t="e">
        <f>ROUNDDOWN(SUMIF(Q70:Q72, "1", F70:F72), 0)</f>
        <v>#REF!</v>
      </c>
      <c r="G84" s="13"/>
      <c r="H84" s="13" t="e">
        <f>ROUNDDOWN(SUMIF(Q70:Q72, "1", H70:H72), 0)</f>
        <v>#REF!</v>
      </c>
      <c r="I84" s="13"/>
      <c r="J84" s="13">
        <f>ROUNDDOWN(SUMIF(Q70:Q72, "1", J70:J72), 0)</f>
        <v>0</v>
      </c>
      <c r="K84" s="13"/>
      <c r="L84" s="13" t="e">
        <f>F84+H84+J84</f>
        <v>#REF!</v>
      </c>
      <c r="M84" s="13"/>
      <c r="R84">
        <f t="shared" ref="R84:AL84" si="78">ROUNDDOWN(SUM(R70:R72), 0)</f>
        <v>0</v>
      </c>
      <c r="S84">
        <f t="shared" si="78"/>
        <v>0</v>
      </c>
      <c r="T84">
        <f t="shared" si="78"/>
        <v>0</v>
      </c>
      <c r="U84">
        <f t="shared" si="78"/>
        <v>0</v>
      </c>
      <c r="V84">
        <f t="shared" si="78"/>
        <v>0</v>
      </c>
      <c r="W84">
        <f t="shared" si="78"/>
        <v>0</v>
      </c>
      <c r="X84">
        <f t="shared" si="78"/>
        <v>0</v>
      </c>
      <c r="Y84">
        <f t="shared" si="78"/>
        <v>0</v>
      </c>
      <c r="Z84">
        <f t="shared" si="78"/>
        <v>0</v>
      </c>
      <c r="AA84">
        <f t="shared" si="78"/>
        <v>0</v>
      </c>
      <c r="AB84">
        <f t="shared" si="78"/>
        <v>0</v>
      </c>
      <c r="AC84">
        <f t="shared" si="78"/>
        <v>0</v>
      </c>
      <c r="AD84">
        <f t="shared" si="78"/>
        <v>0</v>
      </c>
      <c r="AE84">
        <f t="shared" si="78"/>
        <v>0</v>
      </c>
      <c r="AF84">
        <f t="shared" si="78"/>
        <v>0</v>
      </c>
      <c r="AG84">
        <f t="shared" si="78"/>
        <v>0</v>
      </c>
      <c r="AH84">
        <f t="shared" si="78"/>
        <v>0</v>
      </c>
      <c r="AI84">
        <f t="shared" si="78"/>
        <v>0</v>
      </c>
      <c r="AJ84">
        <f t="shared" si="78"/>
        <v>0</v>
      </c>
      <c r="AK84">
        <f t="shared" si="78"/>
        <v>0</v>
      </c>
      <c r="AL84">
        <f t="shared" si="78"/>
        <v>0</v>
      </c>
    </row>
    <row r="85" spans="1:38" ht="23.1" customHeight="1">
      <c r="A85" s="52" t="s">
        <v>144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</row>
    <row r="86" spans="1:38" ht="23.1" customHeight="1">
      <c r="A86" s="6" t="s">
        <v>30</v>
      </c>
      <c r="B86" s="6" t="s">
        <v>31</v>
      </c>
      <c r="C86" s="8" t="s">
        <v>32</v>
      </c>
      <c r="D86" s="9">
        <f>+[1]수량산출서!$N$101</f>
        <v>45.379999999999995</v>
      </c>
      <c r="E86" s="9">
        <v>0</v>
      </c>
      <c r="F86" s="9">
        <f>ROUNDDOWN(D86*E86, 0)</f>
        <v>0</v>
      </c>
      <c r="G86" s="9">
        <v>0</v>
      </c>
      <c r="H86" s="9">
        <f>ROUNDDOWN(D86*G86, 0)</f>
        <v>0</v>
      </c>
      <c r="I86" s="9"/>
      <c r="J86" s="9">
        <f>ROUNDDOWN(D86*I86, 0)</f>
        <v>0</v>
      </c>
      <c r="K86" s="9">
        <f>E86+G86+I86</f>
        <v>0</v>
      </c>
      <c r="L86" s="9">
        <f>F86+H86+J86</f>
        <v>0</v>
      </c>
      <c r="M86" s="9"/>
      <c r="O86" t="str">
        <f>"03"</f>
        <v>03</v>
      </c>
      <c r="P86" t="s">
        <v>125</v>
      </c>
      <c r="Q86">
        <v>1</v>
      </c>
      <c r="R86">
        <f>IF(P86="기계경비", J86, 0)</f>
        <v>0</v>
      </c>
      <c r="S86">
        <f>IF(P86="운반비", J86, 0)</f>
        <v>0</v>
      </c>
      <c r="T86">
        <f>IF(P86="작업부산물", F86, 0)</f>
        <v>0</v>
      </c>
      <c r="U86">
        <f>IF(P86="관급", F86, 0)</f>
        <v>0</v>
      </c>
      <c r="V86">
        <f>IF(P86="외주비", J86, 0)</f>
        <v>0</v>
      </c>
      <c r="W86">
        <f>IF(P86="장비비", J86, 0)</f>
        <v>0</v>
      </c>
      <c r="X86">
        <f>IF(P86="폐기물처리비", L86, 0)</f>
        <v>0</v>
      </c>
      <c r="Y86">
        <f>IF(P86="가설비", J86, 0)</f>
        <v>0</v>
      </c>
      <c r="Z86">
        <f>IF(P86="잡비제외분", F86, 0)</f>
        <v>0</v>
      </c>
      <c r="AA86">
        <f>IF(P86="사급자재대", L86, 0)</f>
        <v>0</v>
      </c>
      <c r="AB86">
        <f>IF(P86="관급자재대", L86, 0)</f>
        <v>0</v>
      </c>
      <c r="AC86">
        <f>IF(P86="설계비", L86, 0)</f>
        <v>0</v>
      </c>
      <c r="AD86">
        <f>IF(P86="공사수리보고서제작", L86, 0)</f>
        <v>0</v>
      </c>
      <c r="AE86">
        <f>IF(P86="사용자항목3", L86, 0)</f>
        <v>0</v>
      </c>
      <c r="AF86">
        <f>IF(P86="사용자항목4", L86, 0)</f>
        <v>0</v>
      </c>
      <c r="AG86">
        <f>IF(P86="사용자항목5", L86, 0)</f>
        <v>0</v>
      </c>
      <c r="AH86">
        <f>IF(P86="사용자항목6", L86, 0)</f>
        <v>0</v>
      </c>
      <c r="AI86">
        <f>IF(P86="사용자항목7", L86, 0)</f>
        <v>0</v>
      </c>
      <c r="AJ86">
        <f>IF(P86="사용자항목8", L86, 0)</f>
        <v>0</v>
      </c>
      <c r="AK86">
        <f>IF(P86="사용자항목9", L86, 0)</f>
        <v>0</v>
      </c>
    </row>
    <row r="87" spans="1:38" ht="23.1" customHeight="1">
      <c r="A87" s="6" t="s">
        <v>33</v>
      </c>
      <c r="B87" s="6" t="s">
        <v>34</v>
      </c>
      <c r="C87" s="8" t="s">
        <v>32</v>
      </c>
      <c r="D87" s="9">
        <f>+[1]수량산출서!$N$101</f>
        <v>45.379999999999995</v>
      </c>
      <c r="E87" s="9">
        <v>0</v>
      </c>
      <c r="F87" s="9">
        <f>ROUNDDOWN(D87*E87, 0)</f>
        <v>0</v>
      </c>
      <c r="G87" s="9">
        <v>0</v>
      </c>
      <c r="H87" s="9">
        <f>ROUNDDOWN(D87*G87, 0)</f>
        <v>0</v>
      </c>
      <c r="I87" s="9"/>
      <c r="J87" s="9">
        <f>ROUNDDOWN(D87*I87, 0)</f>
        <v>0</v>
      </c>
      <c r="K87" s="9">
        <f>E87+G87+I87</f>
        <v>0</v>
      </c>
      <c r="L87" s="9">
        <f>F87+H87+J87</f>
        <v>0</v>
      </c>
      <c r="M87" s="15" t="s">
        <v>35</v>
      </c>
      <c r="O87" t="str">
        <f>"03"</f>
        <v>03</v>
      </c>
      <c r="P87" t="s">
        <v>125</v>
      </c>
      <c r="Q87">
        <v>1</v>
      </c>
      <c r="R87">
        <f>IF(P87="기계경비", J87, 0)</f>
        <v>0</v>
      </c>
      <c r="S87">
        <f>IF(P87="운반비", J87, 0)</f>
        <v>0</v>
      </c>
      <c r="T87">
        <f>IF(P87="작업부산물", F87, 0)</f>
        <v>0</v>
      </c>
      <c r="U87">
        <f>IF(P87="관급", F87, 0)</f>
        <v>0</v>
      </c>
      <c r="V87">
        <f>IF(P87="외주비", J87, 0)</f>
        <v>0</v>
      </c>
      <c r="W87">
        <f>IF(P87="장비비", J87, 0)</f>
        <v>0</v>
      </c>
      <c r="X87">
        <f>IF(P87="폐기물처리비", L87, 0)</f>
        <v>0</v>
      </c>
      <c r="Y87">
        <f>IF(P87="가설비", J87, 0)</f>
        <v>0</v>
      </c>
      <c r="Z87">
        <f>IF(P87="잡비제외분", F87, 0)</f>
        <v>0</v>
      </c>
      <c r="AA87">
        <f>IF(P87="사급자재대", L87, 0)</f>
        <v>0</v>
      </c>
      <c r="AB87">
        <f>IF(P87="관급자재대", L87, 0)</f>
        <v>0</v>
      </c>
      <c r="AC87">
        <f>IF(P87="설계비", L87, 0)</f>
        <v>0</v>
      </c>
      <c r="AD87">
        <f>IF(P87="공사수리보고서제작", L87, 0)</f>
        <v>0</v>
      </c>
      <c r="AE87">
        <f>IF(P87="사용자항목3", L87, 0)</f>
        <v>0</v>
      </c>
      <c r="AF87">
        <f>IF(P87="사용자항목4", L87, 0)</f>
        <v>0</v>
      </c>
      <c r="AG87">
        <f>IF(P87="사용자항목5", L87, 0)</f>
        <v>0</v>
      </c>
      <c r="AH87">
        <f>IF(P87="사용자항목6", L87, 0)</f>
        <v>0</v>
      </c>
      <c r="AI87">
        <f>IF(P87="사용자항목7", L87, 0)</f>
        <v>0</v>
      </c>
      <c r="AJ87">
        <f>IF(P87="사용자항목8", L87, 0)</f>
        <v>0</v>
      </c>
      <c r="AK87">
        <f>IF(P87="사용자항목9", L87, 0)</f>
        <v>0</v>
      </c>
    </row>
    <row r="88" spans="1:38" ht="23.1" customHeight="1">
      <c r="A88" s="7"/>
      <c r="B88" s="7"/>
      <c r="C88" s="14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38" ht="23.1" customHeight="1">
      <c r="A89" s="7"/>
      <c r="B89" s="7"/>
      <c r="C89" s="14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38" ht="23.1" customHeight="1">
      <c r="A90" s="7"/>
      <c r="B90" s="7"/>
      <c r="C90" s="14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38" ht="23.1" customHeight="1">
      <c r="A91" s="7"/>
      <c r="B91" s="7"/>
      <c r="C91" s="14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38" ht="23.1" customHeight="1">
      <c r="A92" s="7"/>
      <c r="B92" s="7"/>
      <c r="C92" s="14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38" ht="23.1" customHeight="1">
      <c r="A93" s="7"/>
      <c r="B93" s="7"/>
      <c r="C93" s="14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38" ht="23.1" customHeight="1">
      <c r="A94" s="7"/>
      <c r="B94" s="7"/>
      <c r="C94" s="14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38" ht="23.1" customHeight="1">
      <c r="A95" s="7"/>
      <c r="B95" s="7"/>
      <c r="C95" s="14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38" ht="23.1" customHeight="1">
      <c r="A96" s="7"/>
      <c r="B96" s="7"/>
      <c r="C96" s="14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38" ht="23.1" customHeight="1">
      <c r="A97" s="7"/>
      <c r="B97" s="7"/>
      <c r="C97" s="14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38" ht="23.1" customHeight="1">
      <c r="A98" s="7"/>
      <c r="B98" s="7"/>
      <c r="C98" s="14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38" ht="23.1" customHeight="1">
      <c r="A99" s="7"/>
      <c r="B99" s="7"/>
      <c r="C99" s="14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38" ht="23.1" customHeight="1">
      <c r="A100" s="10" t="s">
        <v>46</v>
      </c>
      <c r="B100" s="11"/>
      <c r="C100" s="12"/>
      <c r="D100" s="13"/>
      <c r="E100" s="13"/>
      <c r="F100" s="13">
        <f>ROUNDDOWN(SUMIF(Q86:Q87, "1", F86:F87), 0)</f>
        <v>0</v>
      </c>
      <c r="G100" s="13"/>
      <c r="H100" s="13">
        <f>ROUNDDOWN(SUMIF(Q86:Q87, "1", H86:H87), 0)</f>
        <v>0</v>
      </c>
      <c r="I100" s="13"/>
      <c r="J100" s="13">
        <f>ROUNDDOWN(SUMIF(Q86:Q87, "1", J86:J87), 0)</f>
        <v>0</v>
      </c>
      <c r="K100" s="13"/>
      <c r="L100" s="13">
        <f>F100+H100+J100</f>
        <v>0</v>
      </c>
      <c r="M100" s="13"/>
      <c r="R100">
        <f t="shared" ref="R100:AL100" si="79">ROUNDDOWN(SUM(R86:R87), 0)</f>
        <v>0</v>
      </c>
      <c r="S100">
        <f t="shared" si="79"/>
        <v>0</v>
      </c>
      <c r="T100">
        <f t="shared" si="79"/>
        <v>0</v>
      </c>
      <c r="U100">
        <f t="shared" si="79"/>
        <v>0</v>
      </c>
      <c r="V100">
        <f t="shared" si="79"/>
        <v>0</v>
      </c>
      <c r="W100">
        <f t="shared" si="79"/>
        <v>0</v>
      </c>
      <c r="X100">
        <f t="shared" si="79"/>
        <v>0</v>
      </c>
      <c r="Y100">
        <f t="shared" si="79"/>
        <v>0</v>
      </c>
      <c r="Z100">
        <f t="shared" si="79"/>
        <v>0</v>
      </c>
      <c r="AA100">
        <f t="shared" si="79"/>
        <v>0</v>
      </c>
      <c r="AB100">
        <f t="shared" si="79"/>
        <v>0</v>
      </c>
      <c r="AC100">
        <f t="shared" si="79"/>
        <v>0</v>
      </c>
      <c r="AD100">
        <f t="shared" si="79"/>
        <v>0</v>
      </c>
      <c r="AE100">
        <f t="shared" si="79"/>
        <v>0</v>
      </c>
      <c r="AF100">
        <f t="shared" si="79"/>
        <v>0</v>
      </c>
      <c r="AG100">
        <f t="shared" si="79"/>
        <v>0</v>
      </c>
      <c r="AH100">
        <f t="shared" si="79"/>
        <v>0</v>
      </c>
      <c r="AI100">
        <f t="shared" si="79"/>
        <v>0</v>
      </c>
      <c r="AJ100">
        <f t="shared" si="79"/>
        <v>0</v>
      </c>
      <c r="AK100">
        <f t="shared" si="79"/>
        <v>0</v>
      </c>
      <c r="AL100">
        <f t="shared" si="79"/>
        <v>0</v>
      </c>
    </row>
  </sheetData>
  <mergeCells count="16">
    <mergeCell ref="A85:M85"/>
    <mergeCell ref="A1:M1"/>
    <mergeCell ref="A2:M2"/>
    <mergeCell ref="A3:A4"/>
    <mergeCell ref="B3:B4"/>
    <mergeCell ref="C3:C4"/>
    <mergeCell ref="D3:D4"/>
    <mergeCell ref="M3:M4"/>
    <mergeCell ref="E3:F3"/>
    <mergeCell ref="G3:H3"/>
    <mergeCell ref="I3:J3"/>
    <mergeCell ref="K3:L3"/>
    <mergeCell ref="A5:M5"/>
    <mergeCell ref="A21:M21"/>
    <mergeCell ref="A37:M37"/>
    <mergeCell ref="A69:M69"/>
  </mergeCells>
  <phoneticPr fontId="1" type="noConversion"/>
  <conditionalFormatting sqref="A6:M100 A5">
    <cfRule type="containsText" dxfId="1" priority="1" stopIfTrue="1" operator="containsText" text=".">
      <formula>NOT(ISERROR(SEARCH(".",A5)))</formula>
    </cfRule>
    <cfRule type="notContainsText" dxfId="0" priority="2" stopIfTrue="1" operator="notContains" text=".">
      <formula>ISERROR(SEARCH(".",A5))</formula>
    </cfRule>
  </conditionalFormatting>
  <pageMargins left="0.74555149110298213" right="0" top="0.4305908611817223" bottom="0.1388888888888889" header="0.3" footer="0.1388888888888889"/>
  <pageSetup paperSize="9" orientation="landscape" r:id="rId1"/>
  <rowBreaks count="6" manualBreakCount="6">
    <brk id="20" max="16383" man="1"/>
    <brk id="36" max="16383" man="1"/>
    <brk id="52" max="16383" man="1"/>
    <brk id="68" max="16383" man="1"/>
    <brk id="84" max="16383" man="1"/>
    <brk id="1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6</vt:i4>
      </vt:variant>
    </vt:vector>
  </HeadingPairs>
  <TitlesOfParts>
    <vt:vector size="10" baseType="lpstr">
      <vt:lpstr>원가계산서</vt:lpstr>
      <vt:lpstr>집계표</vt:lpstr>
      <vt:lpstr>내역서</vt:lpstr>
      <vt:lpstr>Sheet1</vt:lpstr>
      <vt:lpstr>내역서!Print_Area</vt:lpstr>
      <vt:lpstr>원가계산서!Print_Area</vt:lpstr>
      <vt:lpstr>집계표!Print_Area</vt:lpstr>
      <vt:lpstr>내역서!Print_Titles</vt:lpstr>
      <vt:lpstr>원가계산서!Print_Titles</vt:lpstr>
      <vt:lpstr>집계표!Print_Titles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설계2</dc:creator>
  <cp:lastModifiedBy>user</cp:lastModifiedBy>
  <cp:lastPrinted>2021-06-03T08:42:14Z</cp:lastPrinted>
  <dcterms:created xsi:type="dcterms:W3CDTF">2021-05-26T06:31:25Z</dcterms:created>
  <dcterms:modified xsi:type="dcterms:W3CDTF">2021-07-13T04:28:48Z</dcterms:modified>
</cp:coreProperties>
</file>