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경기도계약심사\02 진행중\01 계약심사\139 (경기문화재단) 사적 제479호 북한산성 행궁지정비(5차) 공사\03 심사결과\"/>
    </mc:Choice>
  </mc:AlternateContent>
  <xr:revisionPtr revIDLastSave="0" documentId="13_ncr:1_{0BBA0EB1-8D25-4D80-AF7D-F82BDBBCF4CA}" xr6:coauthVersionLast="45" xr6:coauthVersionMax="45" xr10:uidLastSave="{00000000-0000-0000-0000-000000000000}"/>
  <bookViews>
    <workbookView xWindow="1290" yWindow="105" windowWidth="22500" windowHeight="15075" xr2:uid="{00000000-000D-0000-FFFF-FFFF00000000}"/>
  </bookViews>
  <sheets>
    <sheet name="심사내역" sheetId="11" r:id="rId1"/>
    <sheet name="원가계산서" sheetId="2" r:id="rId2"/>
    <sheet name="내역서" sheetId="8" r:id="rId3"/>
    <sheet name="일위대가목록" sheetId="7" r:id="rId4"/>
    <sheet name="일위대가" sheetId="6" r:id="rId5"/>
    <sheet name="중기단가목록" sheetId="5" r:id="rId6"/>
    <sheet name="중기단가산출서" sheetId="10" r:id="rId7"/>
    <sheet name="단가대비표" sheetId="3" r:id="rId8"/>
    <sheet name=" 공사설정 " sheetId="1" state="hidden" r:id="rId9"/>
  </sheets>
  <definedNames>
    <definedName name="_xlnm.Print_Area" localSheetId="2">내역서!$A$1:$M$36</definedName>
    <definedName name="_xlnm.Print_Area" localSheetId="7">단가대비표!$A$1:$X$47</definedName>
    <definedName name="_xlnm.Print_Area" localSheetId="4">일위대가!$A$1:$M$194</definedName>
    <definedName name="_xlnm.Print_Area" localSheetId="3">일위대가목록!$A$1:$J$29</definedName>
    <definedName name="_xlnm.Print_Area" localSheetId="5">중기단가목록!$A$1:$J$9</definedName>
    <definedName name="_xlnm.Print_Area" localSheetId="6">중기단가산출서!$A$1:$F$189</definedName>
    <definedName name="_xlnm.Print_Titles" localSheetId="2">내역서!$1:$4</definedName>
    <definedName name="_xlnm.Print_Titles" localSheetId="7">단가대비표!$1:$4</definedName>
    <definedName name="_xlnm.Print_Titles" localSheetId="1">원가계산서!$1:$3</definedName>
    <definedName name="_xlnm.Print_Titles" localSheetId="4">일위대가!$1:$3</definedName>
    <definedName name="_xlnm.Print_Titles" localSheetId="3">일위대가목록!$1:$3</definedName>
    <definedName name="_xlnm.Print_Titles" localSheetId="5">중기단가목록!$1:$3</definedName>
    <definedName name="_xlnm.Print_Titles" localSheetId="6">중기단가산출서!$1:$3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1" l="1"/>
  <c r="D19" i="11"/>
  <c r="E19" i="11" s="1"/>
  <c r="D18" i="11"/>
  <c r="D17" i="11"/>
  <c r="D16" i="11"/>
  <c r="E16" i="11" s="1"/>
  <c r="D15" i="11"/>
  <c r="D14" i="11"/>
  <c r="E14" i="11" s="1"/>
  <c r="D13" i="11"/>
  <c r="E13" i="11" s="1"/>
  <c r="D12" i="11"/>
  <c r="E12" i="11" s="1"/>
  <c r="D11" i="11"/>
  <c r="E11" i="11" s="1"/>
  <c r="D10" i="11"/>
  <c r="D8" i="11"/>
  <c r="E8" i="11" s="1"/>
  <c r="G22" i="11"/>
  <c r="E20" i="11"/>
  <c r="E18" i="11"/>
  <c r="E17" i="11"/>
  <c r="E15" i="11"/>
  <c r="C9" i="11"/>
  <c r="C8" i="11"/>
  <c r="C21" i="11" s="1"/>
  <c r="D9" i="11" l="1"/>
  <c r="E9" i="11" s="1"/>
  <c r="C22" i="11"/>
  <c r="C23" i="11"/>
  <c r="C24" i="11" s="1"/>
  <c r="E10" i="11"/>
  <c r="J14" i="10"/>
  <c r="E16" i="10" s="1"/>
  <c r="G16" i="10" s="1"/>
  <c r="J32" i="10"/>
  <c r="E36" i="10" s="1"/>
  <c r="G36" i="10" s="1"/>
  <c r="AF36" i="10" s="1"/>
  <c r="G44" i="10"/>
  <c r="AD45" i="10" s="1"/>
  <c r="AG45" i="10" s="1"/>
  <c r="J58" i="10"/>
  <c r="E60" i="10" s="1"/>
  <c r="G60" i="10" s="1"/>
  <c r="AB60" i="10" s="1"/>
  <c r="H69" i="10"/>
  <c r="AD69" i="10" s="1"/>
  <c r="J80" i="10"/>
  <c r="E82" i="10" s="1"/>
  <c r="G82" i="10" s="1"/>
  <c r="AD82" i="10" s="1"/>
  <c r="E81" i="10"/>
  <c r="G81" i="10" s="1"/>
  <c r="AB81" i="10" s="1"/>
  <c r="J96" i="10"/>
  <c r="E98" i="10" s="1"/>
  <c r="G98" i="10" s="1"/>
  <c r="AB98" i="10" s="1"/>
  <c r="G107" i="10"/>
  <c r="AD107" i="10" s="1"/>
  <c r="J118" i="10"/>
  <c r="E120" i="10" s="1"/>
  <c r="G120" i="10" s="1"/>
  <c r="AD120" i="10" s="1"/>
  <c r="AG120" i="10" s="1"/>
  <c r="E119" i="10"/>
  <c r="G119" i="10" s="1"/>
  <c r="AB119" i="10" s="1"/>
  <c r="AG119" i="10" s="1"/>
  <c r="E121" i="10"/>
  <c r="G121" i="10" s="1"/>
  <c r="AF121" i="10" s="1"/>
  <c r="J134" i="10"/>
  <c r="E137" i="10" s="1"/>
  <c r="G137" i="10" s="1"/>
  <c r="AD137" i="10" s="1"/>
  <c r="E136" i="10"/>
  <c r="G136" i="10"/>
  <c r="AB136" i="10" s="1"/>
  <c r="E138" i="10"/>
  <c r="G138" i="10" s="1"/>
  <c r="AF138" i="10" s="1"/>
  <c r="H145" i="10"/>
  <c r="AD145" i="10"/>
  <c r="AG145" i="10" s="1"/>
  <c r="AG146" i="10" s="1"/>
  <c r="H153" i="10"/>
  <c r="AF153" i="10" s="1"/>
  <c r="G157" i="10"/>
  <c r="AF157" i="10"/>
  <c r="AG157" i="10" s="1"/>
  <c r="AG158" i="10" s="1"/>
  <c r="AF158" i="10"/>
  <c r="D21" i="11" l="1"/>
  <c r="D22" i="11" s="1"/>
  <c r="E22" i="11" s="1"/>
  <c r="AG69" i="10"/>
  <c r="AG70" i="10" s="1"/>
  <c r="AD70" i="10"/>
  <c r="AG121" i="10"/>
  <c r="AG122" i="10" s="1"/>
  <c r="AF122" i="10"/>
  <c r="AB19" i="10"/>
  <c r="AB21" i="10" s="1"/>
  <c r="AB16" i="10"/>
  <c r="AG16" i="10" s="1"/>
  <c r="E35" i="10"/>
  <c r="G35" i="10" s="1"/>
  <c r="AD35" i="10" s="1"/>
  <c r="AG35" i="10" s="1"/>
  <c r="AD44" i="10"/>
  <c r="AG44" i="10" s="1"/>
  <c r="E17" i="10"/>
  <c r="G17" i="10" s="1"/>
  <c r="E83" i="10"/>
  <c r="G83" i="10" s="1"/>
  <c r="AF83" i="10" s="1"/>
  <c r="AG83" i="10" s="1"/>
  <c r="E34" i="10"/>
  <c r="G34" i="10" s="1"/>
  <c r="AB34" i="10" s="1"/>
  <c r="E100" i="10"/>
  <c r="G100" i="10" s="1"/>
  <c r="AF100" i="10" s="1"/>
  <c r="E99" i="10"/>
  <c r="G99" i="10" s="1"/>
  <c r="AD99" i="10" s="1"/>
  <c r="AD101" i="10" s="1"/>
  <c r="E18" i="10"/>
  <c r="G18" i="10" s="1"/>
  <c r="AG137" i="10"/>
  <c r="AD139" i="10"/>
  <c r="AD108" i="10"/>
  <c r="AG107" i="10"/>
  <c r="AG108" i="10" s="1"/>
  <c r="AB63" i="10"/>
  <c r="AG60" i="10"/>
  <c r="AG100" i="10"/>
  <c r="AF101" i="10"/>
  <c r="AF123" i="10" s="1"/>
  <c r="AF84" i="10"/>
  <c r="AG81" i="10"/>
  <c r="AB84" i="10"/>
  <c r="AF139" i="10"/>
  <c r="AF147" i="10" s="1"/>
  <c r="AG138" i="10"/>
  <c r="AB139" i="10"/>
  <c r="AB147" i="10" s="1"/>
  <c r="AG136" i="10"/>
  <c r="AF154" i="10"/>
  <c r="AF159" i="10" s="1"/>
  <c r="AG153" i="10"/>
  <c r="AG154" i="10" s="1"/>
  <c r="AG159" i="10" s="1"/>
  <c r="AG98" i="10"/>
  <c r="AB101" i="10"/>
  <c r="AB123" i="10" s="1"/>
  <c r="AD84" i="10"/>
  <c r="AG82" i="10"/>
  <c r="AF37" i="10"/>
  <c r="AF47" i="10" s="1"/>
  <c r="AG36" i="10"/>
  <c r="AB37" i="10"/>
  <c r="AB47" i="10" s="1"/>
  <c r="AG34" i="10"/>
  <c r="AD122" i="10"/>
  <c r="AD146" i="10"/>
  <c r="AB122" i="10"/>
  <c r="E62" i="10"/>
  <c r="G62" i="10" s="1"/>
  <c r="AF62" i="10" s="1"/>
  <c r="E61" i="10"/>
  <c r="G61" i="10" s="1"/>
  <c r="AD61" i="10" s="1"/>
  <c r="E21" i="11" l="1"/>
  <c r="D23" i="11"/>
  <c r="D24" i="11" s="1"/>
  <c r="E24" i="11" s="1"/>
  <c r="E23" i="11"/>
  <c r="G23" i="11" s="1"/>
  <c r="AG99" i="10"/>
  <c r="AD37" i="10"/>
  <c r="AD47" i="10" s="1"/>
  <c r="AF18" i="10"/>
  <c r="AG18" i="10" s="1"/>
  <c r="AF19" i="10"/>
  <c r="AF21" i="10" s="1"/>
  <c r="AD17" i="10"/>
  <c r="AG17" i="10" s="1"/>
  <c r="AG19" i="10" s="1"/>
  <c r="AG21" i="10" s="1"/>
  <c r="AD19" i="10"/>
  <c r="AD21" i="10" s="1"/>
  <c r="AG84" i="10"/>
  <c r="AF63" i="10"/>
  <c r="AF85" i="10" s="1"/>
  <c r="AG62" i="10"/>
  <c r="AG37" i="10"/>
  <c r="AG47" i="10" s="1"/>
  <c r="AG139" i="10"/>
  <c r="AG147" i="10" s="1"/>
  <c r="AD147" i="10"/>
  <c r="AD63" i="10"/>
  <c r="AD85" i="10" s="1"/>
  <c r="AG61" i="10"/>
  <c r="AG101" i="10"/>
  <c r="AD123" i="10"/>
  <c r="AG123" i="10" s="1"/>
  <c r="AB85" i="10"/>
  <c r="AG63" i="10" l="1"/>
  <c r="AG85" i="10" s="1"/>
  <c r="G34" i="8"/>
  <c r="E34" i="8"/>
  <c r="G33" i="8"/>
  <c r="E33" i="8"/>
  <c r="G32" i="8"/>
  <c r="E32" i="8"/>
  <c r="I31" i="8"/>
  <c r="J31" i="8" s="1"/>
  <c r="G31" i="8"/>
  <c r="E31" i="8"/>
  <c r="G30" i="8"/>
  <c r="E30" i="8"/>
  <c r="I29" i="8"/>
  <c r="J29" i="8" s="1"/>
  <c r="G29" i="8"/>
  <c r="H29" i="8" s="1"/>
  <c r="E29" i="8"/>
  <c r="I26" i="8"/>
  <c r="J26" i="8" s="1"/>
  <c r="G26" i="8"/>
  <c r="E26" i="8"/>
  <c r="I24" i="8"/>
  <c r="G24" i="8"/>
  <c r="E24" i="8"/>
  <c r="I23" i="8"/>
  <c r="J23" i="8" s="1"/>
  <c r="G23" i="8"/>
  <c r="I22" i="8"/>
  <c r="G22" i="8"/>
  <c r="I15" i="8"/>
  <c r="J15" i="8" s="1"/>
  <c r="G15" i="8"/>
  <c r="H15" i="8" s="1"/>
  <c r="E15" i="8"/>
  <c r="I14" i="8"/>
  <c r="G14" i="8"/>
  <c r="E14" i="8"/>
  <c r="I13" i="8"/>
  <c r="J13" i="8" s="1"/>
  <c r="G13" i="8"/>
  <c r="E13" i="8"/>
  <c r="I12" i="8"/>
  <c r="G12" i="8"/>
  <c r="H12" i="8" s="1"/>
  <c r="E12" i="8"/>
  <c r="I11" i="8"/>
  <c r="J11" i="8" s="1"/>
  <c r="G11" i="8"/>
  <c r="E11" i="8"/>
  <c r="I192" i="6"/>
  <c r="J192" i="6" s="1"/>
  <c r="G192" i="6"/>
  <c r="E192" i="6"/>
  <c r="I191" i="6"/>
  <c r="G191" i="6"/>
  <c r="E191" i="6"/>
  <c r="K191" i="6" s="1"/>
  <c r="I185" i="6"/>
  <c r="J185" i="6" s="1"/>
  <c r="G185" i="6"/>
  <c r="I184" i="6"/>
  <c r="G184" i="6"/>
  <c r="I174" i="6"/>
  <c r="J174" i="6" s="1"/>
  <c r="G174" i="6"/>
  <c r="E174" i="6"/>
  <c r="I173" i="6"/>
  <c r="G173" i="6"/>
  <c r="E173" i="6"/>
  <c r="K173" i="6" s="1"/>
  <c r="I172" i="6"/>
  <c r="J172" i="6" s="1"/>
  <c r="G172" i="6"/>
  <c r="E172" i="6"/>
  <c r="I171" i="6"/>
  <c r="G171" i="6"/>
  <c r="I170" i="6"/>
  <c r="K170" i="6" s="1"/>
  <c r="G170" i="6"/>
  <c r="E170" i="6"/>
  <c r="I164" i="6"/>
  <c r="J164" i="6" s="1"/>
  <c r="G164" i="6"/>
  <c r="E164" i="6"/>
  <c r="I163" i="6"/>
  <c r="G163" i="6"/>
  <c r="E163" i="6"/>
  <c r="K163" i="6" s="1"/>
  <c r="I162" i="6"/>
  <c r="J162" i="6" s="1"/>
  <c r="G162" i="6"/>
  <c r="E162" i="6"/>
  <c r="I156" i="6"/>
  <c r="K156" i="6" s="1"/>
  <c r="G156" i="6"/>
  <c r="E156" i="6"/>
  <c r="I155" i="6"/>
  <c r="G155" i="6"/>
  <c r="E155" i="6"/>
  <c r="F155" i="6" s="1"/>
  <c r="I154" i="6"/>
  <c r="K154" i="6" s="1"/>
  <c r="G154" i="6"/>
  <c r="E154" i="6"/>
  <c r="I149" i="6"/>
  <c r="G149" i="6"/>
  <c r="E149" i="6"/>
  <c r="K149" i="6" s="1"/>
  <c r="I148" i="6"/>
  <c r="K148" i="6" s="1"/>
  <c r="G148" i="6"/>
  <c r="E148" i="6"/>
  <c r="I147" i="6"/>
  <c r="G147" i="6"/>
  <c r="I146" i="6"/>
  <c r="J146" i="6" s="1"/>
  <c r="G146" i="6"/>
  <c r="I145" i="6"/>
  <c r="G145" i="6"/>
  <c r="E145" i="6"/>
  <c r="K145" i="6" s="1"/>
  <c r="I140" i="6"/>
  <c r="J140" i="6" s="1"/>
  <c r="G140" i="6"/>
  <c r="E140" i="6"/>
  <c r="I139" i="6"/>
  <c r="G139" i="6"/>
  <c r="E139" i="6"/>
  <c r="F139" i="6" s="1"/>
  <c r="I138" i="6"/>
  <c r="J138" i="6" s="1"/>
  <c r="G138" i="6"/>
  <c r="E138" i="6"/>
  <c r="I137" i="6"/>
  <c r="J137" i="6" s="1"/>
  <c r="G137" i="6"/>
  <c r="I133" i="6"/>
  <c r="J133" i="6" s="1"/>
  <c r="G133" i="6"/>
  <c r="E133" i="6"/>
  <c r="I131" i="6"/>
  <c r="G131" i="6"/>
  <c r="E131" i="6"/>
  <c r="K131" i="6" s="1"/>
  <c r="I130" i="6"/>
  <c r="K130" i="6" s="1"/>
  <c r="G130" i="6"/>
  <c r="E130" i="6"/>
  <c r="I126" i="6"/>
  <c r="G126" i="6"/>
  <c r="E126" i="6"/>
  <c r="F126" i="6" s="1"/>
  <c r="I124" i="6"/>
  <c r="J124" i="6" s="1"/>
  <c r="G124" i="6"/>
  <c r="G123" i="6"/>
  <c r="E123" i="6"/>
  <c r="I119" i="6"/>
  <c r="J119" i="6" s="1"/>
  <c r="G119" i="6"/>
  <c r="E119" i="6"/>
  <c r="I117" i="6"/>
  <c r="G117" i="6"/>
  <c r="E117" i="6"/>
  <c r="K117" i="6" s="1"/>
  <c r="I116" i="6"/>
  <c r="J116" i="6" s="1"/>
  <c r="J120" i="6" s="1"/>
  <c r="G19" i="7" s="1"/>
  <c r="I86" i="6" s="1"/>
  <c r="J86" i="6" s="1"/>
  <c r="G116" i="6"/>
  <c r="H116" i="6" s="1"/>
  <c r="E116" i="6"/>
  <c r="I111" i="6"/>
  <c r="G111" i="6"/>
  <c r="E111" i="6"/>
  <c r="K111" i="6" s="1"/>
  <c r="I110" i="6"/>
  <c r="K110" i="6" s="1"/>
  <c r="G110" i="6"/>
  <c r="E110" i="6"/>
  <c r="F110" i="6" s="1"/>
  <c r="I109" i="6"/>
  <c r="G109" i="6"/>
  <c r="E109" i="6"/>
  <c r="K109" i="6" s="1"/>
  <c r="I103" i="6"/>
  <c r="J103" i="6" s="1"/>
  <c r="G103" i="6"/>
  <c r="E103" i="6"/>
  <c r="I102" i="6"/>
  <c r="G102" i="6"/>
  <c r="E102" i="6"/>
  <c r="K102" i="6" s="1"/>
  <c r="I101" i="6"/>
  <c r="K101" i="6" s="1"/>
  <c r="G101" i="6"/>
  <c r="E101" i="6"/>
  <c r="I95" i="6"/>
  <c r="G95" i="6"/>
  <c r="E95" i="6"/>
  <c r="F95" i="6" s="1"/>
  <c r="I94" i="6"/>
  <c r="J94" i="6" s="1"/>
  <c r="G94" i="6"/>
  <c r="H94" i="6" s="1"/>
  <c r="I93" i="6"/>
  <c r="G93" i="6"/>
  <c r="E93" i="6"/>
  <c r="F93" i="6" s="1"/>
  <c r="I92" i="6"/>
  <c r="J92" i="6" s="1"/>
  <c r="G92" i="6"/>
  <c r="I91" i="6"/>
  <c r="G91" i="6"/>
  <c r="I85" i="6"/>
  <c r="K85" i="6" s="1"/>
  <c r="G85" i="6"/>
  <c r="E85" i="6"/>
  <c r="I81" i="6"/>
  <c r="G81" i="6"/>
  <c r="E81" i="6"/>
  <c r="F81" i="6" s="1"/>
  <c r="I79" i="6"/>
  <c r="J79" i="6" s="1"/>
  <c r="G79" i="6"/>
  <c r="G78" i="6"/>
  <c r="E78" i="6"/>
  <c r="F78" i="6" s="1"/>
  <c r="I74" i="6"/>
  <c r="J74" i="6" s="1"/>
  <c r="G74" i="6"/>
  <c r="E74" i="6"/>
  <c r="I72" i="6"/>
  <c r="G72" i="6"/>
  <c r="E72" i="6"/>
  <c r="K72" i="6" s="1"/>
  <c r="I71" i="6"/>
  <c r="J71" i="6" s="1"/>
  <c r="G71" i="6"/>
  <c r="E71" i="6"/>
  <c r="G67" i="6"/>
  <c r="E67" i="6"/>
  <c r="F67" i="6" s="1"/>
  <c r="I66" i="6"/>
  <c r="J66" i="6" s="1"/>
  <c r="G66" i="6"/>
  <c r="G65" i="6"/>
  <c r="E65" i="6"/>
  <c r="I64" i="6"/>
  <c r="J64" i="6" s="1"/>
  <c r="G64" i="6"/>
  <c r="E64" i="6"/>
  <c r="I60" i="6"/>
  <c r="G60" i="6"/>
  <c r="H60" i="6" s="1"/>
  <c r="E60" i="6"/>
  <c r="I59" i="6"/>
  <c r="J59" i="6" s="1"/>
  <c r="J61" i="6" s="1"/>
  <c r="G11" i="7" s="1"/>
  <c r="I25" i="8" s="1"/>
  <c r="J25" i="8" s="1"/>
  <c r="G59" i="6"/>
  <c r="H59" i="6" s="1"/>
  <c r="E59" i="6"/>
  <c r="I58" i="6"/>
  <c r="G58" i="6"/>
  <c r="E58" i="6"/>
  <c r="F58" i="6" s="1"/>
  <c r="I21" i="6"/>
  <c r="K21" i="6" s="1"/>
  <c r="G21" i="6"/>
  <c r="E21" i="6"/>
  <c r="I20" i="6"/>
  <c r="G20" i="6"/>
  <c r="E20" i="6"/>
  <c r="I19" i="6"/>
  <c r="J19" i="6" s="1"/>
  <c r="G19" i="6"/>
  <c r="I15" i="6"/>
  <c r="G15" i="6"/>
  <c r="E15" i="6"/>
  <c r="F15" i="6" s="1"/>
  <c r="I14" i="6"/>
  <c r="J14" i="6" s="1"/>
  <c r="G14" i="6"/>
  <c r="E14" i="6"/>
  <c r="I13" i="6"/>
  <c r="G13" i="6"/>
  <c r="E13" i="6"/>
  <c r="I9" i="6"/>
  <c r="K9" i="6" s="1"/>
  <c r="G9" i="6"/>
  <c r="E9" i="6"/>
  <c r="I8" i="6"/>
  <c r="G8" i="6"/>
  <c r="I7" i="6"/>
  <c r="J7" i="6" s="1"/>
  <c r="G7" i="6"/>
  <c r="I6" i="6"/>
  <c r="G6" i="6"/>
  <c r="E6" i="6"/>
  <c r="F6" i="6" s="1"/>
  <c r="I5" i="6"/>
  <c r="J5" i="6" s="1"/>
  <c r="G5" i="6"/>
  <c r="E5" i="6"/>
  <c r="F5" i="6" s="1"/>
  <c r="O47" i="3"/>
  <c r="O46" i="3"/>
  <c r="V45" i="3"/>
  <c r="I34" i="8" s="1"/>
  <c r="V44" i="3"/>
  <c r="I33" i="8" s="1"/>
  <c r="V43" i="3"/>
  <c r="I32" i="8" s="1"/>
  <c r="V33" i="3"/>
  <c r="V32" i="3"/>
  <c r="I30" i="8" s="1"/>
  <c r="V31" i="3"/>
  <c r="O30" i="3"/>
  <c r="E8" i="6" s="1"/>
  <c r="O29" i="3"/>
  <c r="E171" i="6" s="1"/>
  <c r="O27" i="3"/>
  <c r="E92" i="6" s="1"/>
  <c r="O26" i="3"/>
  <c r="O25" i="3"/>
  <c r="E146" i="6" s="1"/>
  <c r="O24" i="3"/>
  <c r="E185" i="6" s="1"/>
  <c r="F185" i="6" s="1"/>
  <c r="O23" i="3"/>
  <c r="E66" i="6" s="1"/>
  <c r="V22" i="3"/>
  <c r="I67" i="6" s="1"/>
  <c r="V21" i="3"/>
  <c r="I65" i="6" s="1"/>
  <c r="V20" i="3"/>
  <c r="O19" i="3"/>
  <c r="E79" i="6" s="1"/>
  <c r="O18" i="3"/>
  <c r="E124" i="6" s="1"/>
  <c r="O17" i="3"/>
  <c r="E184" i="6" s="1"/>
  <c r="O16" i="3"/>
  <c r="E137" i="6" s="1"/>
  <c r="F137" i="6" s="1"/>
  <c r="F142" i="6" s="1"/>
  <c r="O15" i="3"/>
  <c r="E94" i="6" s="1"/>
  <c r="F94" i="6" s="1"/>
  <c r="O14" i="3"/>
  <c r="O13" i="3"/>
  <c r="O11" i="3"/>
  <c r="E23" i="8" s="1"/>
  <c r="O10" i="3"/>
  <c r="E22" i="8" s="1"/>
  <c r="F22" i="8" s="1"/>
  <c r="V9" i="3"/>
  <c r="I78" i="6" s="1"/>
  <c r="J78" i="6" s="1"/>
  <c r="J82" i="6" s="1"/>
  <c r="G14" i="7" s="1"/>
  <c r="V8" i="3"/>
  <c r="I123" i="6" s="1"/>
  <c r="J123" i="6" s="1"/>
  <c r="V7" i="3"/>
  <c r="V6" i="3"/>
  <c r="V5" i="3"/>
  <c r="F193" i="6"/>
  <c r="F194" i="6" s="1"/>
  <c r="H193" i="6"/>
  <c r="F192" i="6"/>
  <c r="H192" i="6"/>
  <c r="F191" i="6"/>
  <c r="H191" i="6"/>
  <c r="I193" i="6" s="1"/>
  <c r="K193" i="6" s="1"/>
  <c r="J191" i="6"/>
  <c r="H187" i="6"/>
  <c r="J187" i="6"/>
  <c r="H186" i="6"/>
  <c r="H188" i="6" s="1"/>
  <c r="F28" i="7" s="1"/>
  <c r="G179" i="6" s="1"/>
  <c r="H179" i="6" s="1"/>
  <c r="J186" i="6"/>
  <c r="J188" i="6" s="1"/>
  <c r="G28" i="7" s="1"/>
  <c r="I179" i="6" s="1"/>
  <c r="J179" i="6" s="1"/>
  <c r="H184" i="6"/>
  <c r="J184" i="6"/>
  <c r="F175" i="6"/>
  <c r="H175" i="6"/>
  <c r="I175" i="6"/>
  <c r="K175" i="6" s="1"/>
  <c r="F174" i="6"/>
  <c r="H174" i="6"/>
  <c r="H173" i="6"/>
  <c r="J173" i="6"/>
  <c r="F172" i="6"/>
  <c r="H172" i="6"/>
  <c r="H171" i="6"/>
  <c r="J171" i="6"/>
  <c r="F170" i="6"/>
  <c r="H170" i="6"/>
  <c r="H176" i="6" s="1"/>
  <c r="F26" i="7" s="1"/>
  <c r="G51" i="6" s="1"/>
  <c r="H51" i="6" s="1"/>
  <c r="J170" i="6"/>
  <c r="F166" i="6"/>
  <c r="H166" i="6"/>
  <c r="F164" i="6"/>
  <c r="H164" i="6"/>
  <c r="F163" i="6"/>
  <c r="H163" i="6"/>
  <c r="I166" i="6" s="1"/>
  <c r="K166" i="6" s="1"/>
  <c r="J163" i="6"/>
  <c r="F162" i="6"/>
  <c r="H162" i="6"/>
  <c r="K162" i="6"/>
  <c r="F158" i="6"/>
  <c r="H158" i="6"/>
  <c r="F156" i="6"/>
  <c r="H156" i="6"/>
  <c r="J156" i="6"/>
  <c r="H155" i="6"/>
  <c r="J155" i="6"/>
  <c r="K155" i="6"/>
  <c r="F154" i="6"/>
  <c r="H154" i="6"/>
  <c r="F150" i="6"/>
  <c r="H150" i="6"/>
  <c r="F149" i="6"/>
  <c r="H149" i="6"/>
  <c r="J149" i="6"/>
  <c r="F148" i="6"/>
  <c r="H148" i="6"/>
  <c r="I150" i="6" s="1"/>
  <c r="K150" i="6" s="1"/>
  <c r="J148" i="6"/>
  <c r="H147" i="6"/>
  <c r="J147" i="6"/>
  <c r="H146" i="6"/>
  <c r="H145" i="6"/>
  <c r="J145" i="6"/>
  <c r="F141" i="6"/>
  <c r="H141" i="6"/>
  <c r="F140" i="6"/>
  <c r="H140" i="6"/>
  <c r="H139" i="6"/>
  <c r="J139" i="6"/>
  <c r="K139" i="6"/>
  <c r="F138" i="6"/>
  <c r="H138" i="6"/>
  <c r="H137" i="6"/>
  <c r="F133" i="6"/>
  <c r="H133" i="6"/>
  <c r="H132" i="6"/>
  <c r="J132" i="6"/>
  <c r="F131" i="6"/>
  <c r="E132" i="6" s="1"/>
  <c r="F132" i="6" s="1"/>
  <c r="L132" i="6" s="1"/>
  <c r="H131" i="6"/>
  <c r="J131" i="6"/>
  <c r="F130" i="6"/>
  <c r="H130" i="6"/>
  <c r="J130" i="6"/>
  <c r="H126" i="6"/>
  <c r="J126" i="6"/>
  <c r="H125" i="6"/>
  <c r="J125" i="6"/>
  <c r="H124" i="6"/>
  <c r="F123" i="6"/>
  <c r="H123" i="6"/>
  <c r="F119" i="6"/>
  <c r="H119" i="6"/>
  <c r="K119" i="6"/>
  <c r="H118" i="6"/>
  <c r="J118" i="6"/>
  <c r="H117" i="6"/>
  <c r="J117" i="6"/>
  <c r="F112" i="6"/>
  <c r="H112" i="6"/>
  <c r="F111" i="6"/>
  <c r="H111" i="6"/>
  <c r="J111" i="6"/>
  <c r="H110" i="6"/>
  <c r="F109" i="6"/>
  <c r="H109" i="6"/>
  <c r="J109" i="6"/>
  <c r="F105" i="6"/>
  <c r="H105" i="6"/>
  <c r="F103" i="6"/>
  <c r="H103" i="6"/>
  <c r="H102" i="6"/>
  <c r="I105" i="6" s="1"/>
  <c r="K105" i="6" s="1"/>
  <c r="J102" i="6"/>
  <c r="F101" i="6"/>
  <c r="H101" i="6"/>
  <c r="F97" i="6"/>
  <c r="H97" i="6"/>
  <c r="I97" i="6"/>
  <c r="K97" i="6" s="1"/>
  <c r="H95" i="6"/>
  <c r="J95" i="6"/>
  <c r="K95" i="6"/>
  <c r="H93" i="6"/>
  <c r="J93" i="6"/>
  <c r="H92" i="6"/>
  <c r="H91" i="6"/>
  <c r="J91" i="6"/>
  <c r="F85" i="6"/>
  <c r="H85" i="6"/>
  <c r="H82" i="6"/>
  <c r="F14" i="7" s="1"/>
  <c r="H81" i="6"/>
  <c r="J81" i="6"/>
  <c r="K81" i="6"/>
  <c r="H80" i="6"/>
  <c r="J80" i="6"/>
  <c r="H79" i="6"/>
  <c r="H78" i="6"/>
  <c r="F74" i="6"/>
  <c r="H74" i="6"/>
  <c r="H73" i="6"/>
  <c r="J73" i="6"/>
  <c r="F72" i="6"/>
  <c r="E73" i="6" s="1"/>
  <c r="F73" i="6" s="1"/>
  <c r="H72" i="6"/>
  <c r="H75" i="6" s="1"/>
  <c r="F13" i="7" s="1"/>
  <c r="J72" i="6"/>
  <c r="F71" i="6"/>
  <c r="H71" i="6"/>
  <c r="K71" i="6"/>
  <c r="H67" i="6"/>
  <c r="H66" i="6"/>
  <c r="F65" i="6"/>
  <c r="H65" i="6"/>
  <c r="H68" i="6" s="1"/>
  <c r="F12" i="7" s="1"/>
  <c r="G36" i="8" s="1"/>
  <c r="F64" i="6"/>
  <c r="H64" i="6"/>
  <c r="F60" i="6"/>
  <c r="J60" i="6"/>
  <c r="H58" i="6"/>
  <c r="J58" i="6"/>
  <c r="K58" i="6"/>
  <c r="F21" i="6"/>
  <c r="H21" i="6"/>
  <c r="F20" i="6"/>
  <c r="H20" i="6"/>
  <c r="J20" i="6"/>
  <c r="H19" i="6"/>
  <c r="H15" i="6"/>
  <c r="J15" i="6"/>
  <c r="K15" i="6"/>
  <c r="F14" i="6"/>
  <c r="H14" i="6"/>
  <c r="F13" i="6"/>
  <c r="F16" i="6" s="1"/>
  <c r="E5" i="7" s="1"/>
  <c r="E9" i="8" s="1"/>
  <c r="F9" i="8" s="1"/>
  <c r="H13" i="6"/>
  <c r="H16" i="6" s="1"/>
  <c r="F5" i="7" s="1"/>
  <c r="G9" i="8" s="1"/>
  <c r="J13" i="6"/>
  <c r="K13" i="6"/>
  <c r="F9" i="6"/>
  <c r="H9" i="6"/>
  <c r="J9" i="6"/>
  <c r="H8" i="6"/>
  <c r="J8" i="6"/>
  <c r="H7" i="6"/>
  <c r="H6" i="6"/>
  <c r="J6" i="6"/>
  <c r="K6" i="6"/>
  <c r="H5" i="6"/>
  <c r="H10" i="6" s="1"/>
  <c r="F4" i="7" s="1"/>
  <c r="G7" i="8" s="1"/>
  <c r="H7" i="8" s="1"/>
  <c r="G6" i="8" s="1"/>
  <c r="H6" i="8" s="1"/>
  <c r="F34" i="8"/>
  <c r="H34" i="8"/>
  <c r="F33" i="8"/>
  <c r="H33" i="8"/>
  <c r="F32" i="8"/>
  <c r="H32" i="8"/>
  <c r="F31" i="8"/>
  <c r="F30" i="8"/>
  <c r="H30" i="8"/>
  <c r="F29" i="8"/>
  <c r="F27" i="8"/>
  <c r="J27" i="8"/>
  <c r="F26" i="8"/>
  <c r="H26" i="8"/>
  <c r="K26" i="8"/>
  <c r="F24" i="8"/>
  <c r="J24" i="8"/>
  <c r="H23" i="8"/>
  <c r="H22" i="8"/>
  <c r="J22" i="8"/>
  <c r="F16" i="8"/>
  <c r="J16" i="8"/>
  <c r="F15" i="8"/>
  <c r="F14" i="8"/>
  <c r="H14" i="8"/>
  <c r="J14" i="8"/>
  <c r="K14" i="8"/>
  <c r="F13" i="8"/>
  <c r="H13" i="8"/>
  <c r="F12" i="8"/>
  <c r="J12" i="8"/>
  <c r="K12" i="8"/>
  <c r="F11" i="8"/>
  <c r="H11" i="8"/>
  <c r="F8" i="6" l="1"/>
  <c r="K8" i="6"/>
  <c r="J65" i="6"/>
  <c r="K65" i="6"/>
  <c r="K92" i="6"/>
  <c r="F92" i="6"/>
  <c r="K32" i="8"/>
  <c r="J32" i="8"/>
  <c r="H36" i="8"/>
  <c r="K67" i="6"/>
  <c r="J67" i="6"/>
  <c r="F171" i="6"/>
  <c r="K171" i="6"/>
  <c r="J33" i="8"/>
  <c r="K33" i="8"/>
  <c r="L71" i="6"/>
  <c r="J75" i="6"/>
  <c r="G13" i="7" s="1"/>
  <c r="F66" i="6"/>
  <c r="F68" i="6" s="1"/>
  <c r="E12" i="7" s="1"/>
  <c r="E36" i="8" s="1"/>
  <c r="K66" i="6"/>
  <c r="F23" i="8"/>
  <c r="K23" i="8"/>
  <c r="K124" i="6"/>
  <c r="F124" i="6"/>
  <c r="E125" i="6" s="1"/>
  <c r="K125" i="6" s="1"/>
  <c r="K184" i="6"/>
  <c r="F184" i="6"/>
  <c r="E186" i="6" s="1"/>
  <c r="F186" i="6" s="1"/>
  <c r="J34" i="8"/>
  <c r="K34" i="8"/>
  <c r="K79" i="6"/>
  <c r="F79" i="6"/>
  <c r="E80" i="6" s="1"/>
  <c r="K80" i="6" s="1"/>
  <c r="F146" i="6"/>
  <c r="K146" i="6"/>
  <c r="K30" i="8"/>
  <c r="J30" i="8"/>
  <c r="L140" i="6"/>
  <c r="L130" i="6"/>
  <c r="K172" i="6"/>
  <c r="E147" i="6"/>
  <c r="K13" i="8"/>
  <c r="K5" i="6"/>
  <c r="K14" i="6"/>
  <c r="J21" i="6"/>
  <c r="J85" i="6"/>
  <c r="J101" i="6"/>
  <c r="F102" i="6"/>
  <c r="J110" i="6"/>
  <c r="F117" i="6"/>
  <c r="E118" i="6" s="1"/>
  <c r="K118" i="6" s="1"/>
  <c r="K138" i="6"/>
  <c r="H142" i="6"/>
  <c r="F22" i="7" s="1"/>
  <c r="G53" i="6" s="1"/>
  <c r="H53" i="6" s="1"/>
  <c r="F145" i="6"/>
  <c r="F173" i="6"/>
  <c r="K20" i="6"/>
  <c r="K22" i="8"/>
  <c r="K24" i="8"/>
  <c r="J134" i="6"/>
  <c r="G21" i="7" s="1"/>
  <c r="I158" i="6"/>
  <c r="K158" i="6" s="1"/>
  <c r="L8" i="6"/>
  <c r="K78" i="6"/>
  <c r="L85" i="6"/>
  <c r="K103" i="6"/>
  <c r="L119" i="6"/>
  <c r="H151" i="6"/>
  <c r="F23" i="7" s="1"/>
  <c r="G52" i="6" s="1"/>
  <c r="H52" i="6" s="1"/>
  <c r="K174" i="6"/>
  <c r="K93" i="6"/>
  <c r="J10" i="6"/>
  <c r="G4" i="7" s="1"/>
  <c r="I7" i="8" s="1"/>
  <c r="K15" i="8"/>
  <c r="J22" i="6"/>
  <c r="G6" i="7" s="1"/>
  <c r="I10" i="8" s="1"/>
  <c r="J10" i="8" s="1"/>
  <c r="K74" i="6"/>
  <c r="H134" i="6"/>
  <c r="F21" i="7" s="1"/>
  <c r="K140" i="6"/>
  <c r="J154" i="6"/>
  <c r="L154" i="6" s="1"/>
  <c r="L171" i="6"/>
  <c r="E7" i="6"/>
  <c r="E19" i="6"/>
  <c r="F176" i="6"/>
  <c r="J16" i="6"/>
  <c r="G5" i="7" s="1"/>
  <c r="I9" i="8" s="1"/>
  <c r="J9" i="8" s="1"/>
  <c r="I112" i="6"/>
  <c r="K112" i="6" s="1"/>
  <c r="L131" i="6"/>
  <c r="L146" i="6"/>
  <c r="H120" i="6"/>
  <c r="F19" i="7" s="1"/>
  <c r="G86" i="6" s="1"/>
  <c r="H86" i="6" s="1"/>
  <c r="K185" i="6"/>
  <c r="E91" i="6"/>
  <c r="G35" i="8"/>
  <c r="H35" i="8" s="1"/>
  <c r="L34" i="8"/>
  <c r="E28" i="8"/>
  <c r="F28" i="8" s="1"/>
  <c r="L33" i="8"/>
  <c r="L32" i="8"/>
  <c r="K31" i="8"/>
  <c r="H31" i="8"/>
  <c r="L31" i="8" s="1"/>
  <c r="L30" i="8"/>
  <c r="K29" i="8"/>
  <c r="L29" i="8"/>
  <c r="L26" i="8"/>
  <c r="H24" i="8"/>
  <c r="L24" i="8" s="1"/>
  <c r="L23" i="8"/>
  <c r="L22" i="8"/>
  <c r="L15" i="8"/>
  <c r="L14" i="8"/>
  <c r="L13" i="8"/>
  <c r="L12" i="8"/>
  <c r="K11" i="8"/>
  <c r="L11" i="8"/>
  <c r="K9" i="8"/>
  <c r="H9" i="8"/>
  <c r="G16" i="8" s="1"/>
  <c r="K16" i="8" s="1"/>
  <c r="K192" i="6"/>
  <c r="L192" i="6"/>
  <c r="L191" i="6"/>
  <c r="J193" i="6"/>
  <c r="H194" i="6"/>
  <c r="F29" i="7" s="1"/>
  <c r="G180" i="6" s="1"/>
  <c r="H180" i="6" s="1"/>
  <c r="H181" i="6" s="1"/>
  <c r="F27" i="7" s="1"/>
  <c r="G54" i="6" s="1"/>
  <c r="H54" i="6" s="1"/>
  <c r="E29" i="7"/>
  <c r="E180" i="6" s="1"/>
  <c r="H185" i="6"/>
  <c r="L185" i="6" s="1"/>
  <c r="L184" i="6"/>
  <c r="L186" i="6"/>
  <c r="E187" i="6"/>
  <c r="F187" i="6" s="1"/>
  <c r="L187" i="6" s="1"/>
  <c r="L174" i="6"/>
  <c r="L173" i="6"/>
  <c r="L172" i="6"/>
  <c r="E26" i="7"/>
  <c r="E51" i="6" s="1"/>
  <c r="L170" i="6"/>
  <c r="K164" i="6"/>
  <c r="L164" i="6"/>
  <c r="L163" i="6"/>
  <c r="L162" i="6"/>
  <c r="L156" i="6"/>
  <c r="L155" i="6"/>
  <c r="L149" i="6"/>
  <c r="L148" i="6"/>
  <c r="L145" i="6"/>
  <c r="I141" i="6"/>
  <c r="K141" i="6" s="1"/>
  <c r="L139" i="6"/>
  <c r="L138" i="6"/>
  <c r="K137" i="6"/>
  <c r="G43" i="6"/>
  <c r="H43" i="6" s="1"/>
  <c r="G32" i="6"/>
  <c r="H32" i="6" s="1"/>
  <c r="L137" i="6"/>
  <c r="K133" i="6"/>
  <c r="F134" i="6"/>
  <c r="L134" i="6" s="1"/>
  <c r="L133" i="6"/>
  <c r="K126" i="6"/>
  <c r="J127" i="6"/>
  <c r="G20" i="7" s="1"/>
  <c r="I87" i="6" s="1"/>
  <c r="J87" i="6" s="1"/>
  <c r="J88" i="6" s="1"/>
  <c r="G15" i="7" s="1"/>
  <c r="I40" i="6" s="1"/>
  <c r="J40" i="6" s="1"/>
  <c r="H127" i="6"/>
  <c r="F20" i="7" s="1"/>
  <c r="G87" i="6" s="1"/>
  <c r="H87" i="6" s="1"/>
  <c r="H88" i="6" s="1"/>
  <c r="F15" i="7" s="1"/>
  <c r="G25" i="6" s="1"/>
  <c r="H25" i="6" s="1"/>
  <c r="L126" i="6"/>
  <c r="L124" i="6"/>
  <c r="K123" i="6"/>
  <c r="L123" i="6"/>
  <c r="L117" i="6"/>
  <c r="K116" i="6"/>
  <c r="F116" i="6"/>
  <c r="F113" i="6"/>
  <c r="E18" i="7" s="1"/>
  <c r="L111" i="6"/>
  <c r="L110" i="6"/>
  <c r="H113" i="6"/>
  <c r="F18" i="7" s="1"/>
  <c r="L109" i="6"/>
  <c r="L103" i="6"/>
  <c r="L102" i="6"/>
  <c r="L101" i="6"/>
  <c r="L95" i="6"/>
  <c r="K94" i="6"/>
  <c r="L94" i="6"/>
  <c r="L93" i="6"/>
  <c r="L92" i="6"/>
  <c r="L81" i="6"/>
  <c r="L79" i="6"/>
  <c r="L78" i="6"/>
  <c r="L74" i="6"/>
  <c r="L73" i="6"/>
  <c r="F75" i="6"/>
  <c r="L75" i="6" s="1"/>
  <c r="L72" i="6"/>
  <c r="L67" i="6"/>
  <c r="L66" i="6"/>
  <c r="J68" i="6"/>
  <c r="G12" i="7" s="1"/>
  <c r="I36" i="8" s="1"/>
  <c r="J36" i="8" s="1"/>
  <c r="I35" i="8" s="1"/>
  <c r="J35" i="8" s="1"/>
  <c r="L65" i="6"/>
  <c r="L64" i="6"/>
  <c r="K64" i="6"/>
  <c r="H61" i="6"/>
  <c r="F11" i="7" s="1"/>
  <c r="G25" i="8" s="1"/>
  <c r="H25" i="8" s="1"/>
  <c r="K60" i="6"/>
  <c r="L60" i="6"/>
  <c r="K59" i="6"/>
  <c r="F59" i="6"/>
  <c r="F61" i="6" s="1"/>
  <c r="E11" i="7" s="1"/>
  <c r="E25" i="8" s="1"/>
  <c r="L58" i="6"/>
  <c r="L21" i="6"/>
  <c r="L20" i="6"/>
  <c r="H22" i="6"/>
  <c r="F6" i="7" s="1"/>
  <c r="G10" i="8" s="1"/>
  <c r="H10" i="8" s="1"/>
  <c r="L15" i="6"/>
  <c r="L14" i="6"/>
  <c r="L13" i="6"/>
  <c r="L9" i="6"/>
  <c r="L6" i="6"/>
  <c r="L5" i="6"/>
  <c r="K186" i="6"/>
  <c r="J175" i="6"/>
  <c r="J166" i="6"/>
  <c r="J158" i="6"/>
  <c r="J150" i="6"/>
  <c r="E22" i="7"/>
  <c r="K132" i="6"/>
  <c r="F125" i="6"/>
  <c r="F118" i="6"/>
  <c r="L118" i="6" s="1"/>
  <c r="J112" i="6"/>
  <c r="J105" i="6"/>
  <c r="J97" i="6"/>
  <c r="F80" i="6"/>
  <c r="L80" i="6" s="1"/>
  <c r="K73" i="6"/>
  <c r="H5" i="7"/>
  <c r="L16" i="6"/>
  <c r="I28" i="8"/>
  <c r="J28" i="8" s="1"/>
  <c r="I8" i="8"/>
  <c r="J8" i="8" s="1"/>
  <c r="F36" i="8" l="1"/>
  <c r="K36" i="8"/>
  <c r="H34" i="6"/>
  <c r="F8" i="7" s="1"/>
  <c r="G19" i="8" s="1"/>
  <c r="H19" i="8" s="1"/>
  <c r="K19" i="6"/>
  <c r="F19" i="6"/>
  <c r="F151" i="6"/>
  <c r="E23" i="7" s="1"/>
  <c r="E52" i="6" s="1"/>
  <c r="F147" i="6"/>
  <c r="L147" i="6" s="1"/>
  <c r="K147" i="6"/>
  <c r="G42" i="6"/>
  <c r="H42" i="6" s="1"/>
  <c r="F7" i="6"/>
  <c r="K7" i="6"/>
  <c r="I104" i="6"/>
  <c r="J104" i="6" s="1"/>
  <c r="I165" i="6"/>
  <c r="J165" i="6" s="1"/>
  <c r="I157" i="6"/>
  <c r="J157" i="6" s="1"/>
  <c r="F82" i="6"/>
  <c r="L82" i="6" s="1"/>
  <c r="G33" i="6"/>
  <c r="H33" i="6" s="1"/>
  <c r="F25" i="8"/>
  <c r="L25" i="8" s="1"/>
  <c r="K25" i="8"/>
  <c r="J7" i="8"/>
  <c r="I6" i="8" s="1"/>
  <c r="J6" i="8" s="1"/>
  <c r="F188" i="6"/>
  <c r="K91" i="6"/>
  <c r="F91" i="6"/>
  <c r="L91" i="6" s="1"/>
  <c r="L9" i="8"/>
  <c r="G104" i="6"/>
  <c r="H104" i="6" s="1"/>
  <c r="H106" i="6" s="1"/>
  <c r="F17" i="7" s="1"/>
  <c r="G165" i="6"/>
  <c r="H165" i="6" s="1"/>
  <c r="H167" i="6" s="1"/>
  <c r="F25" i="7" s="1"/>
  <c r="G157" i="6"/>
  <c r="H157" i="6" s="1"/>
  <c r="H159" i="6" s="1"/>
  <c r="F24" i="7" s="1"/>
  <c r="G37" i="6" s="1"/>
  <c r="H37" i="6" s="1"/>
  <c r="K28" i="8"/>
  <c r="G28" i="8"/>
  <c r="H28" i="8" s="1"/>
  <c r="L28" i="8" s="1"/>
  <c r="H16" i="8"/>
  <c r="L16" i="8" s="1"/>
  <c r="L193" i="6"/>
  <c r="J194" i="6"/>
  <c r="G29" i="7" s="1"/>
  <c r="I180" i="6" s="1"/>
  <c r="J180" i="6" s="1"/>
  <c r="J181" i="6" s="1"/>
  <c r="G27" i="7" s="1"/>
  <c r="I54" i="6" s="1"/>
  <c r="J54" i="6" s="1"/>
  <c r="F180" i="6"/>
  <c r="E28" i="7"/>
  <c r="L188" i="6"/>
  <c r="K187" i="6"/>
  <c r="L175" i="6"/>
  <c r="J176" i="6"/>
  <c r="F51" i="6"/>
  <c r="L166" i="6"/>
  <c r="J167" i="6"/>
  <c r="L158" i="6"/>
  <c r="J159" i="6"/>
  <c r="L150" i="6"/>
  <c r="J151" i="6"/>
  <c r="E33" i="6"/>
  <c r="J141" i="6"/>
  <c r="L141" i="6"/>
  <c r="J142" i="6"/>
  <c r="E53" i="6"/>
  <c r="E43" i="6"/>
  <c r="E32" i="6"/>
  <c r="E21" i="7"/>
  <c r="H21" i="7"/>
  <c r="I96" i="6"/>
  <c r="J96" i="6" s="1"/>
  <c r="G96" i="6"/>
  <c r="H96" i="6" s="1"/>
  <c r="H98" i="6" s="1"/>
  <c r="F16" i="7" s="1"/>
  <c r="G26" i="6" s="1"/>
  <c r="H26" i="6" s="1"/>
  <c r="G50" i="6"/>
  <c r="H50" i="6" s="1"/>
  <c r="G40" i="6"/>
  <c r="H40" i="6" s="1"/>
  <c r="L125" i="6"/>
  <c r="F127" i="6"/>
  <c r="I25" i="6"/>
  <c r="J25" i="6" s="1"/>
  <c r="I50" i="6"/>
  <c r="J50" i="6" s="1"/>
  <c r="L116" i="6"/>
  <c r="F120" i="6"/>
  <c r="L112" i="6"/>
  <c r="J113" i="6"/>
  <c r="G39" i="6"/>
  <c r="H39" i="6" s="1"/>
  <c r="G49" i="6"/>
  <c r="H49" i="6" s="1"/>
  <c r="G28" i="6"/>
  <c r="H28" i="6" s="1"/>
  <c r="E28" i="6"/>
  <c r="E49" i="6"/>
  <c r="E39" i="6"/>
  <c r="L105" i="6"/>
  <c r="J106" i="6"/>
  <c r="L97" i="6"/>
  <c r="J98" i="6"/>
  <c r="E14" i="7"/>
  <c r="H14" i="7" s="1"/>
  <c r="E13" i="7"/>
  <c r="H13" i="7" s="1"/>
  <c r="H12" i="7"/>
  <c r="L68" i="6"/>
  <c r="H11" i="7"/>
  <c r="L61" i="6"/>
  <c r="L59" i="6"/>
  <c r="E42" i="6" l="1"/>
  <c r="F22" i="6"/>
  <c r="L19" i="6"/>
  <c r="F10" i="6"/>
  <c r="L7" i="6"/>
  <c r="G38" i="6"/>
  <c r="H38" i="6" s="1"/>
  <c r="G48" i="6"/>
  <c r="H48" i="6" s="1"/>
  <c r="G27" i="6"/>
  <c r="H27" i="6" s="1"/>
  <c r="G47" i="6"/>
  <c r="H47" i="6" s="1"/>
  <c r="H55" i="6" s="1"/>
  <c r="F10" i="7" s="1"/>
  <c r="G21" i="8" s="1"/>
  <c r="H21" i="8" s="1"/>
  <c r="E104" i="6"/>
  <c r="E165" i="6"/>
  <c r="E157" i="6"/>
  <c r="E35" i="8"/>
  <c r="F35" i="8" s="1"/>
  <c r="L35" i="8" s="1"/>
  <c r="L36" i="8"/>
  <c r="K35" i="8" s="1"/>
  <c r="G8" i="8"/>
  <c r="H8" i="8" s="1"/>
  <c r="K180" i="6"/>
  <c r="L194" i="6"/>
  <c r="L180" i="6"/>
  <c r="H29" i="7"/>
  <c r="E179" i="6"/>
  <c r="H28" i="7"/>
  <c r="G26" i="7"/>
  <c r="L176" i="6"/>
  <c r="G25" i="7"/>
  <c r="G24" i="7"/>
  <c r="G23" i="7"/>
  <c r="L151" i="6"/>
  <c r="F33" i="6"/>
  <c r="F42" i="6"/>
  <c r="F52" i="6"/>
  <c r="G22" i="7"/>
  <c r="L142" i="6"/>
  <c r="F32" i="6"/>
  <c r="F43" i="6"/>
  <c r="F53" i="6"/>
  <c r="H29" i="6"/>
  <c r="F7" i="7" s="1"/>
  <c r="G18" i="8" s="1"/>
  <c r="H18" i="8" s="1"/>
  <c r="G41" i="6"/>
  <c r="H41" i="6" s="1"/>
  <c r="H44" i="6"/>
  <c r="F9" i="7" s="1"/>
  <c r="G20" i="8" s="1"/>
  <c r="H20" i="8" s="1"/>
  <c r="L127" i="6"/>
  <c r="E20" i="7"/>
  <c r="L120" i="6"/>
  <c r="E19" i="7"/>
  <c r="G18" i="7"/>
  <c r="L113" i="6"/>
  <c r="F39" i="6"/>
  <c r="F49" i="6"/>
  <c r="F28" i="6"/>
  <c r="G17" i="7"/>
  <c r="G16" i="7"/>
  <c r="E6" i="7" l="1"/>
  <c r="L22" i="6"/>
  <c r="G27" i="8"/>
  <c r="K157" i="6"/>
  <c r="F157" i="6"/>
  <c r="K165" i="6"/>
  <c r="F165" i="6"/>
  <c r="K104" i="6"/>
  <c r="F104" i="6"/>
  <c r="E4" i="7"/>
  <c r="L10" i="6"/>
  <c r="F179" i="6"/>
  <c r="K179" i="6"/>
  <c r="I51" i="6"/>
  <c r="H26" i="7"/>
  <c r="I48" i="6"/>
  <c r="I38" i="6"/>
  <c r="I37" i="6"/>
  <c r="I52" i="6"/>
  <c r="I42" i="6"/>
  <c r="I33" i="6"/>
  <c r="H23" i="7"/>
  <c r="I32" i="6"/>
  <c r="I43" i="6"/>
  <c r="I53" i="6"/>
  <c r="H22" i="7"/>
  <c r="F34" i="6"/>
  <c r="H20" i="7"/>
  <c r="E96" i="6"/>
  <c r="E87" i="6"/>
  <c r="E86" i="6"/>
  <c r="H19" i="7"/>
  <c r="I49" i="6"/>
  <c r="I28" i="6"/>
  <c r="I39" i="6"/>
  <c r="H18" i="7"/>
  <c r="I27" i="6"/>
  <c r="I47" i="6"/>
  <c r="I26" i="6"/>
  <c r="I41" i="6"/>
  <c r="H4" i="7" l="1"/>
  <c r="E7" i="8"/>
  <c r="L157" i="6"/>
  <c r="F159" i="6"/>
  <c r="F106" i="6"/>
  <c r="L104" i="6"/>
  <c r="H27" i="8"/>
  <c r="K27" i="8"/>
  <c r="F167" i="6"/>
  <c r="L165" i="6"/>
  <c r="E10" i="8"/>
  <c r="H6" i="7"/>
  <c r="F181" i="6"/>
  <c r="L179" i="6"/>
  <c r="J51" i="6"/>
  <c r="L51" i="6" s="1"/>
  <c r="K51" i="6"/>
  <c r="J38" i="6"/>
  <c r="J48" i="6"/>
  <c r="J37" i="6"/>
  <c r="J52" i="6"/>
  <c r="L52" i="6" s="1"/>
  <c r="K52" i="6"/>
  <c r="J33" i="6"/>
  <c r="L33" i="6" s="1"/>
  <c r="K33" i="6"/>
  <c r="J42" i="6"/>
  <c r="L42" i="6" s="1"/>
  <c r="K42" i="6"/>
  <c r="J43" i="6"/>
  <c r="L43" i="6" s="1"/>
  <c r="K43" i="6"/>
  <c r="J32" i="6"/>
  <c r="K32" i="6"/>
  <c r="J53" i="6"/>
  <c r="L53" i="6" s="1"/>
  <c r="K53" i="6"/>
  <c r="E8" i="7"/>
  <c r="E19" i="8" s="1"/>
  <c r="F19" i="8" s="1"/>
  <c r="F87" i="6"/>
  <c r="L87" i="6" s="1"/>
  <c r="K87" i="6"/>
  <c r="K96" i="6"/>
  <c r="F96" i="6"/>
  <c r="K86" i="6"/>
  <c r="F86" i="6"/>
  <c r="J49" i="6"/>
  <c r="L49" i="6" s="1"/>
  <c r="K49" i="6"/>
  <c r="J39" i="6"/>
  <c r="L39" i="6" s="1"/>
  <c r="K39" i="6"/>
  <c r="J28" i="6"/>
  <c r="L28" i="6" s="1"/>
  <c r="K28" i="6"/>
  <c r="J47" i="6"/>
  <c r="J27" i="6"/>
  <c r="J41" i="6"/>
  <c r="J26" i="6"/>
  <c r="F10" i="8" l="1"/>
  <c r="K10" i="8"/>
  <c r="E17" i="7"/>
  <c r="L106" i="6"/>
  <c r="E24" i="7"/>
  <c r="L159" i="6"/>
  <c r="E25" i="7"/>
  <c r="L167" i="6"/>
  <c r="F7" i="8"/>
  <c r="K7" i="8"/>
  <c r="L27" i="8"/>
  <c r="G17" i="8"/>
  <c r="H17" i="8" s="1"/>
  <c r="E27" i="7"/>
  <c r="L181" i="6"/>
  <c r="J34" i="6"/>
  <c r="L32" i="6"/>
  <c r="F98" i="6"/>
  <c r="L96" i="6"/>
  <c r="F88" i="6"/>
  <c r="L86" i="6"/>
  <c r="J55" i="6"/>
  <c r="J29" i="6"/>
  <c r="J44" i="6"/>
  <c r="E27" i="6" l="1"/>
  <c r="E47" i="6"/>
  <c r="H17" i="7"/>
  <c r="E38" i="6"/>
  <c r="E48" i="6"/>
  <c r="H25" i="7"/>
  <c r="G5" i="8"/>
  <c r="H5" i="8" s="1"/>
  <c r="E8" i="2" s="1"/>
  <c r="E6" i="8"/>
  <c r="F6" i="8" s="1"/>
  <c r="L7" i="8"/>
  <c r="K6" i="8" s="1"/>
  <c r="E8" i="8"/>
  <c r="F8" i="8" s="1"/>
  <c r="L8" i="8" s="1"/>
  <c r="L10" i="8"/>
  <c r="K8" i="8" s="1"/>
  <c r="E37" i="6"/>
  <c r="H24" i="7"/>
  <c r="E54" i="6"/>
  <c r="H27" i="7"/>
  <c r="G8" i="7"/>
  <c r="L34" i="6"/>
  <c r="E16" i="7"/>
  <c r="L98" i="6"/>
  <c r="E15" i="7"/>
  <c r="L88" i="6"/>
  <c r="G10" i="7"/>
  <c r="I21" i="8" s="1"/>
  <c r="J21" i="8" s="1"/>
  <c r="G9" i="7"/>
  <c r="I20" i="8" s="1"/>
  <c r="J20" i="8" s="1"/>
  <c r="G7" i="7"/>
  <c r="I18" i="8" s="1"/>
  <c r="J18" i="8" s="1"/>
  <c r="F38" i="6" l="1"/>
  <c r="L38" i="6" s="1"/>
  <c r="K38" i="6"/>
  <c r="F48" i="6"/>
  <c r="L48" i="6" s="1"/>
  <c r="K48" i="6"/>
  <c r="L6" i="8"/>
  <c r="E9" i="2"/>
  <c r="E15" i="2"/>
  <c r="E17" i="2"/>
  <c r="E10" i="2"/>
  <c r="E14" i="2"/>
  <c r="E16" i="2" s="1"/>
  <c r="F47" i="6"/>
  <c r="L47" i="6" s="1"/>
  <c r="K47" i="6"/>
  <c r="H8" i="7"/>
  <c r="I19" i="8"/>
  <c r="F37" i="6"/>
  <c r="L37" i="6" s="1"/>
  <c r="K37" i="6"/>
  <c r="F27" i="6"/>
  <c r="L27" i="6" s="1"/>
  <c r="K27" i="6"/>
  <c r="F54" i="6"/>
  <c r="L54" i="6" s="1"/>
  <c r="K54" i="6"/>
  <c r="E41" i="6"/>
  <c r="E26" i="6"/>
  <c r="H16" i="7"/>
  <c r="E50" i="6"/>
  <c r="E40" i="6"/>
  <c r="H15" i="7"/>
  <c r="E25" i="6"/>
  <c r="K19" i="8" l="1"/>
  <c r="J19" i="8"/>
  <c r="E12" i="2"/>
  <c r="E13" i="2"/>
  <c r="F26" i="6"/>
  <c r="L26" i="6" s="1"/>
  <c r="K26" i="6"/>
  <c r="F41" i="6"/>
  <c r="L41" i="6" s="1"/>
  <c r="K41" i="6"/>
  <c r="F50" i="6"/>
  <c r="K50" i="6"/>
  <c r="F25" i="6"/>
  <c r="K25" i="6"/>
  <c r="K40" i="6"/>
  <c r="F40" i="6"/>
  <c r="L19" i="8" l="1"/>
  <c r="I17" i="8"/>
  <c r="J17" i="8" s="1"/>
  <c r="I5" i="8" s="1"/>
  <c r="J5" i="8" s="1"/>
  <c r="E11" i="2" s="1"/>
  <c r="F44" i="6"/>
  <c r="L40" i="6"/>
  <c r="L25" i="6"/>
  <c r="F29" i="6"/>
  <c r="L50" i="6"/>
  <c r="F55" i="6"/>
  <c r="E7" i="7" l="1"/>
  <c r="L29" i="6"/>
  <c r="E10" i="7"/>
  <c r="L55" i="6"/>
  <c r="E9" i="7"/>
  <c r="L44" i="6"/>
  <c r="H7" i="7" l="1"/>
  <c r="E18" i="8"/>
  <c r="H9" i="7"/>
  <c r="E20" i="8"/>
  <c r="H10" i="7"/>
  <c r="E21" i="8"/>
  <c r="F21" i="8" l="1"/>
  <c r="L21" i="8" s="1"/>
  <c r="K21" i="8"/>
  <c r="F18" i="8"/>
  <c r="K18" i="8"/>
  <c r="K20" i="8"/>
  <c r="F20" i="8"/>
  <c r="L20" i="8" s="1"/>
  <c r="L18" i="8" l="1"/>
  <c r="K17" i="8" s="1"/>
  <c r="E17" i="8"/>
  <c r="F17" i="8" s="1"/>
  <c r="L17" i="8" l="1"/>
  <c r="K5" i="8" s="1"/>
  <c r="E5" i="8"/>
  <c r="F5" i="8" s="1"/>
  <c r="E4" i="2" l="1"/>
  <c r="E7" i="2" s="1"/>
  <c r="L5" i="8"/>
  <c r="E19" i="2" l="1"/>
  <c r="E18" i="2"/>
  <c r="E20" i="2" s="1"/>
  <c r="E21" i="2" s="1"/>
  <c r="E22" i="2" l="1"/>
  <c r="E24" i="2" s="1"/>
  <c r="E25" i="2" s="1"/>
  <c r="E26" i="2" s="1"/>
  <c r="E27" i="2" s="1"/>
  <c r="E23" i="2"/>
</calcChain>
</file>

<file path=xl/sharedStrings.xml><?xml version="1.0" encoding="utf-8"?>
<sst xmlns="http://schemas.openxmlformats.org/spreadsheetml/2006/main" count="3858" uniqueCount="842">
  <si>
    <t>내 역 서</t>
  </si>
  <si>
    <t>[ 2019북한산성 행궁지정비(5차)공사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</si>
  <si>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</si>
  <si>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</si>
  <si>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</si>
  <si>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</si>
  <si>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</si>
  <si>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</si>
  <si>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</si>
  <si>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</si>
  <si>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</si>
  <si>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</si>
  <si>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</si>
  <si>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품목코드</t>
  </si>
  <si>
    <t>변수</t>
  </si>
  <si>
    <t>설정</t>
  </si>
  <si>
    <t>공종코드</t>
  </si>
  <si>
    <t>상위공종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</si>
  <si>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</si>
  <si>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</si>
  <si>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</si>
  <si>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</si>
  <si>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</si>
  <si>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</si>
  <si>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</si>
  <si>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</si>
  <si>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</si>
  <si>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</si>
  <si>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</si>
  <si>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</si>
  <si>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</si>
  <si>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</si>
  <si>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</si>
  <si>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</si>
  <si>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</si>
  <si>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</si>
  <si>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</si>
  <si>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</si>
  <si>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</si>
  <si>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</si>
  <si>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</si>
  <si>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</si>
  <si>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</si>
  <si>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</si>
  <si>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</si>
  <si>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공종레벨</t>
  </si>
  <si>
    <t>공종구분</t>
  </si>
  <si>
    <t>공종소계</t>
  </si>
  <si>
    <t>공종+자재</t>
  </si>
  <si>
    <t>고유번호</t>
  </si>
  <si>
    <t>원가계산서 연결금액</t>
  </si>
  <si>
    <t>2019북한산성 행궁지정비(5차)공사</t>
  </si>
  <si>
    <t/>
  </si>
  <si>
    <t>01</t>
  </si>
  <si>
    <t>F</t>
  </si>
  <si>
    <t>가  설  공  사</t>
  </si>
  <si>
    <t>0101</t>
  </si>
  <si>
    <t>공사안내판설치</t>
  </si>
  <si>
    <t>EA</t>
  </si>
  <si>
    <t>599A357FAA541903908ECD0A1E3E4C</t>
  </si>
  <si>
    <t>T</t>
  </si>
  <si>
    <t>0101599A357FAA541903908ECD0A1E3E4C</t>
  </si>
  <si>
    <t>토  공  사</t>
  </si>
  <si>
    <t>0102</t>
  </si>
  <si>
    <t>규준틀 설치</t>
  </si>
  <si>
    <t>평</t>
  </si>
  <si>
    <t>개소</t>
  </si>
  <si>
    <t>599A151DF25E8813328422C23430F4</t>
  </si>
  <si>
    <t>0102599A151DF25E8813328422C23430F4</t>
  </si>
  <si>
    <t>귀</t>
  </si>
  <si>
    <t>599A151DF25E8813328422FF7F3E15</t>
  </si>
  <si>
    <t>0102599A151DF25E8813328422FF7F3E15</t>
  </si>
  <si>
    <t>흙 깍기/토사</t>
  </si>
  <si>
    <t>보통, 굴삭기 0.4m3</t>
  </si>
  <si>
    <t>M3</t>
  </si>
  <si>
    <t>59BEA5EA33501833638087796D3F27</t>
  </si>
  <si>
    <t>010259BEA5EA33501833638087796D3F27</t>
  </si>
  <si>
    <t>터파기/토사</t>
  </si>
  <si>
    <t>보통, 굴삭기 0.4m3 80%, 인력20%</t>
  </si>
  <si>
    <t>59BEA5EBDF5CC6F31A8E6B1BC2390EBC</t>
  </si>
  <si>
    <t>010259BEA5EBDF5CC6F31A8E6B1BC2390EBC</t>
  </si>
  <si>
    <t>성토다짐</t>
  </si>
  <si>
    <t>59BEA5E7655CB8633681183C003A61C8</t>
  </si>
  <si>
    <t>010259BEA5E7655CB8633681183C003A61C8</t>
  </si>
  <si>
    <t>되메우기/토사, 두께 10cm</t>
  </si>
  <si>
    <t>보통, 굴삭기 0.4m3+플레이트콤팩터 1.5ton+인력 20%</t>
  </si>
  <si>
    <t>59BEA5E65D5355A34D8D7566CA3981C3</t>
  </si>
  <si>
    <t>010259BEA5E65D5355A34D8D7566CA3981C3</t>
  </si>
  <si>
    <t>현장내 잔토처리/토사</t>
  </si>
  <si>
    <t>보통, 굴삭기 0.4m3+인력 20%</t>
  </si>
  <si>
    <t>59BEA5EBD95A4F3395887424B03D5B28</t>
  </si>
  <si>
    <t>010259BEA5EBD95A4F3395887424B03D5B28</t>
  </si>
  <si>
    <t>지세할증</t>
  </si>
  <si>
    <t>인력품의 10%</t>
  </si>
  <si>
    <t>식</t>
  </si>
  <si>
    <t>588DD5D43258D313E18E2967B736001</t>
  </si>
  <si>
    <t>0102588DD5D43258D313E18E2967B736001</t>
  </si>
  <si>
    <t>배수로 정비공사</t>
  </si>
  <si>
    <t>0103</t>
  </si>
  <si>
    <t>배수로</t>
  </si>
  <si>
    <t>H0.8 M</t>
  </si>
  <si>
    <t>M</t>
  </si>
  <si>
    <t>59BFC5A5B753CD135C859CEFE13DB4</t>
  </si>
  <si>
    <t>010359BFC5A5B753CD135C859CEFE13DB4</t>
  </si>
  <si>
    <t>배수로 박석</t>
  </si>
  <si>
    <t>M2</t>
  </si>
  <si>
    <t>59BFC5A5B753CD135C859CEFE13DB460</t>
  </si>
  <si>
    <t>010359BFC5A5B753CD135C859CEFE13DB460</t>
  </si>
  <si>
    <t>낙차공(가)</t>
  </si>
  <si>
    <t>4단</t>
  </si>
  <si>
    <t>59BFC5A5B753CD135C859CEFE13DB5</t>
  </si>
  <si>
    <t>010359BFC5A5B753CD135C859CEFE13DB5</t>
  </si>
  <si>
    <t>낙차공(나)</t>
  </si>
  <si>
    <t>5단</t>
  </si>
  <si>
    <t>59BFC5A5B753CD135C859CEFE13DB6</t>
  </si>
  <si>
    <t>010359BFC5A5B753CD135C859CEFE13DB6</t>
  </si>
  <si>
    <t>화강석(문경석)</t>
  </si>
  <si>
    <t>화강석, 포천석, 원석, A급</t>
  </si>
  <si>
    <t>5E9CD5FCB25D30B353897FA0B83C031A4DE64E</t>
  </si>
  <si>
    <t>01035E9CD5FCB25D30B353897FA0B83C031A4DE64E</t>
  </si>
  <si>
    <t>자갈</t>
  </si>
  <si>
    <t>자갈, 서울, 도착도, #467</t>
  </si>
  <si>
    <t>5E9CD5FCB25D30B35288D30BA339590F7319E8</t>
  </si>
  <si>
    <t>01035E9CD5FCB25D30B35288D30BA339590F7319E8</t>
  </si>
  <si>
    <t>뒷채움사석</t>
  </si>
  <si>
    <t>5E9CD5FCB25D30B35A8C5A2C9731635642D911</t>
  </si>
  <si>
    <t>01035E9CD5FCB25D30B35A8C5A2C9731635642D911</t>
  </si>
  <si>
    <t>식생매트설치</t>
  </si>
  <si>
    <t>59BE15D9EF5A095344835F369B3A45</t>
  </si>
  <si>
    <t>010359BE15D9EF5A095344835F369B3A45</t>
  </si>
  <si>
    <t>식생매트</t>
  </si>
  <si>
    <t>㎡</t>
  </si>
  <si>
    <t>582645D79E58EAB3F48D2578033E2C88D7</t>
  </si>
  <si>
    <t>0103582645D79E58EAB3F48D2578033E2C88D7</t>
  </si>
  <si>
    <t>0103588DD5D43258D313E18E2967B736001</t>
  </si>
  <si>
    <t>운  반  공  사</t>
  </si>
  <si>
    <t>0104</t>
  </si>
  <si>
    <t>10.5톤카고</t>
  </si>
  <si>
    <t>TON</t>
  </si>
  <si>
    <t>599B453D3D564683A18FCD11BE3913</t>
  </si>
  <si>
    <t>0104599B453D3D564683A18FCD11BE3913</t>
  </si>
  <si>
    <t>상차비</t>
  </si>
  <si>
    <t>599A1511C85EECD31C8BCEB15D3182</t>
  </si>
  <si>
    <t>0104599A1511C85EECD31C8BCEB15D3182</t>
  </si>
  <si>
    <t>하차비</t>
  </si>
  <si>
    <t>599A1511C85EECD31C8BCEB15D3181</t>
  </si>
  <si>
    <t>0104599A1511C85EECD31C8BCEB15D3181</t>
  </si>
  <si>
    <t>항공기이동</t>
  </si>
  <si>
    <t>회</t>
  </si>
  <si>
    <t>582645D79E58EAB3F48D2578033E2C88DF</t>
  </si>
  <si>
    <t>0104582645D79E58EAB3F48D2578033E2C88DF</t>
  </si>
  <si>
    <t>화물운송</t>
  </si>
  <si>
    <t>582645D79E58EAB3F48D2578033E2C88DC</t>
  </si>
  <si>
    <t>0104582645D79E58EAB3F48D2578033E2C88DC</t>
  </si>
  <si>
    <t>연료차사용</t>
  </si>
  <si>
    <t>582645D79E58EAB3F48D2578033E2C88DB</t>
  </si>
  <si>
    <t>0104582645D79E58EAB3F48D2578033E2C88DB</t>
  </si>
  <si>
    <t>준공수리보고서</t>
  </si>
  <si>
    <t>0105</t>
  </si>
  <si>
    <t>준공보고서</t>
  </si>
  <si>
    <t>16절, 백상지, 100면</t>
  </si>
  <si>
    <t>부</t>
  </si>
  <si>
    <t>59BFC5A5B753CD135C859CEFE13DB2</t>
  </si>
  <si>
    <t>010559BFC5A5B753CD135C859CEFE13DB2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</si>
  <si>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</si>
  <si>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</si>
  <si>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</si>
  <si>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</si>
  <si>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</si>
  <si>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</si>
  <si>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</si>
  <si>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</si>
  <si>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</si>
  <si>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</si>
  <si>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</si>
  <si>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</si>
  <si>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</si>
  <si>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</si>
  <si>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</si>
  <si>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</si>
  <si>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</si>
  <si>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</si>
  <si>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</si>
  <si>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</si>
  <si>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공사안내판설치    EA     ( 호표 1 )</t>
  </si>
  <si>
    <t>호표 1</t>
  </si>
  <si>
    <t>보통인부</t>
  </si>
  <si>
    <t>일반공사 직종</t>
  </si>
  <si>
    <t>인</t>
  </si>
  <si>
    <t>5946E5A8075C2BB36E886B4E6B34E5B189BFEA</t>
  </si>
  <si>
    <t>599A357FAA541903908ECD0A1E3E4C5946E5A8075C2BB36E886B4E6B34E5B189BFEA</t>
  </si>
  <si>
    <t>철판</t>
  </si>
  <si>
    <t>0.7mm</t>
  </si>
  <si>
    <t>KG</t>
  </si>
  <si>
    <t>5EBF95CADE5E2CA3378E7AE1263EEE022E3D2D</t>
  </si>
  <si>
    <t>599A357FAA541903908ECD0A1E3E4C5EBF95CADE5E2CA3378E7AE1263EEE022E3D2D</t>
  </si>
  <si>
    <t>각재</t>
  </si>
  <si>
    <t>각재, 외송</t>
  </si>
  <si>
    <t>5EBF95CAD9562E63CC854ED0BA3D109F176536</t>
  </si>
  <si>
    <t>599A357FAA541903908ECD0A1E3E4C5EBF95CAD9562E63CC854ED0BA3D109F176536</t>
  </si>
  <si>
    <t>일반못</t>
  </si>
  <si>
    <t>일반못, 75mm</t>
  </si>
  <si>
    <t>kg</t>
  </si>
  <si>
    <t>5EBF8524B050B893898CA63E9C39C901270B62</t>
  </si>
  <si>
    <t>599A357FAA541903908ECD0A1E3E4C5EBF8524B050B893898CA63E9C39C901270B62</t>
  </si>
  <si>
    <t>형틀목공</t>
  </si>
  <si>
    <t>5946E5A8075C2BB36E886B4E6B34E5B189BFEF</t>
  </si>
  <si>
    <t>599A357FAA541903908ECD0A1E3E4C5946E5A8075C2BB36E886B4E6B34E5B189BFEF</t>
  </si>
  <si>
    <t xml:space="preserve"> [ 합          계 ]</t>
  </si>
  <si>
    <t>TOTAL</t>
  </si>
  <si>
    <t>규준틀 설치  평  개소  공통 2-5-4   ( 호표 2 )</t>
  </si>
  <si>
    <t>호표 2</t>
  </si>
  <si>
    <t>공통 2-5-4</t>
  </si>
  <si>
    <t>599A151DF25E8813328422C23430F45EBF95CAD9562E63CC854ED0BA3D109F176536</t>
  </si>
  <si>
    <t>건축목공</t>
  </si>
  <si>
    <t>5946E5A8075C2BB36E886B4E6B34E5B189BD39</t>
  </si>
  <si>
    <t>599A151DF25E8813328422C23430F45946E5A8075C2BB36E886B4E6B34E5B189BD39</t>
  </si>
  <si>
    <t>599A151DF25E8813328422C23430F45946E5A8075C2BB36E886B4E6B34E5B189BFEA</t>
  </si>
  <si>
    <t>규준틀 설치  귀  개소  공통 2-5-4   ( 호표 3 )</t>
  </si>
  <si>
    <t>호표 3</t>
  </si>
  <si>
    <t>599A151DF25E8813328422FF7F3E155EBF95CAD9562E63CC854ED0BA3D109F176536</t>
  </si>
  <si>
    <t>599A151DF25E8813328422FF7F3E155946E5A8075C2BB36E886B4E6B34E5B189BD39</t>
  </si>
  <si>
    <t>599A151DF25E8813328422FF7F3E155946E5A8075C2BB36E886B4E6B34E5B189BFEA</t>
  </si>
  <si>
    <t>배수로  H0.8 M  M     ( 호표 4 )</t>
  </si>
  <si>
    <t>호표 4</t>
  </si>
  <si>
    <t>기초 지정</t>
  </si>
  <si>
    <t>잡석지정</t>
  </si>
  <si>
    <t>59BEA5E7655CB8633681183C7B3DCA</t>
  </si>
  <si>
    <t>59BFC5A5B753CD135C859CEFE13DB459BEA5E7655CB8633681183C7B3DCA</t>
  </si>
  <si>
    <t>생석회잡석다짐(기계장비)</t>
  </si>
  <si>
    <t>진동롤러(핸드가이드식), 0.7ton</t>
  </si>
  <si>
    <t>599A357FAA541903918F115E5D3F73</t>
  </si>
  <si>
    <t>59BFC5A5B753CD135C859CEFE13DB4599A357FAA541903918F115E5D3F73</t>
  </si>
  <si>
    <t>거친돌쌓기(기계장비) - 0.035㎥ 초과 ~ 0.3㎥ 미만</t>
  </si>
  <si>
    <t>599A357FAA541913B889D2069334D0</t>
  </si>
  <si>
    <t>59BFC5A5B753CD135C859CEFE13DB4599A357FAA541913B889D2069334D0</t>
  </si>
  <si>
    <t>채움석쌓기</t>
  </si>
  <si>
    <t>599A357FAA541913B889ECC1423BFE</t>
  </si>
  <si>
    <t>59BFC5A5B753CD135C859CEFE13DB4599A357FAA541913B889ECC1423BFE</t>
  </si>
  <si>
    <t>배수로 박석    M2     ( 호표 5 )</t>
  </si>
  <si>
    <t>호표 5</t>
  </si>
  <si>
    <t>거친돌(박석)깔기</t>
  </si>
  <si>
    <t>599A357FAA541913B889D26F2231C1</t>
  </si>
  <si>
    <t>59BFC5A5B753CD135C859CEFE13DB460599A357FAA541913B889D26F2231C1</t>
  </si>
  <si>
    <t>생석회모르타르(1:1)</t>
  </si>
  <si>
    <t>599A357FAA541903958576F3623A9A</t>
  </si>
  <si>
    <t>59BFC5A5B753CD135C859CEFE13DB460599A357FAA541903958576F3623A9A</t>
  </si>
  <si>
    <t>낙차공(가)  4단  EA     ( 호표 6 )</t>
  </si>
  <si>
    <t>호표 6</t>
  </si>
  <si>
    <t>낙차공</t>
  </si>
  <si>
    <t>599A357FAA541913B889D2069334D2</t>
  </si>
  <si>
    <t>59BFC5A5B753CD135C859CEFE13DB5599A357FAA541913B889D2069334D2</t>
  </si>
  <si>
    <t>599A357FAA541913B889D2069334D1</t>
  </si>
  <si>
    <t>59BFC5A5B753CD135C859CEFE13DB5599A357FAA541913B889D2069334D1</t>
  </si>
  <si>
    <t>59BFC5A5B753CD135C859CEFE13DB5599A357FAA541913B889ECC1423BFE</t>
  </si>
  <si>
    <t>59BFC5A5B753CD135C859CEFE13DB559BEA5E7655CB8633681183C7B3DCA</t>
  </si>
  <si>
    <t>59BFC5A5B753CD135C859CEFE13DB5599A357FAA541903918F115E5D3F73</t>
  </si>
  <si>
    <t>59BFC5A5B753CD135C859CEFE13DB5599A357FAA541903958576F3623A9A</t>
  </si>
  <si>
    <t>59BFC5A5B753CD135C859CEFE13DB5599A357FAA541913B889D26F2231C1</t>
  </si>
  <si>
    <t>낙차공(나)  5단  EA     ( 호표 7 )</t>
  </si>
  <si>
    <t>호표 7</t>
  </si>
  <si>
    <t>59BFC5A5B753CD135C859CEFE13DB6599A357FAA541913B889D2069334D0</t>
  </si>
  <si>
    <t>59BFC5A5B753CD135C859CEFE13DB6599A357FAA541913B889D2069334D1</t>
  </si>
  <si>
    <t>59BFC5A5B753CD135C859CEFE13DB6599A357FAA541913B889ECC1423BFE</t>
  </si>
  <si>
    <t>59BFC5A5B753CD135C859CEFE13DB659BEA5E7655CB8633681183C7B3DCA</t>
  </si>
  <si>
    <t>생석회잡석다짐</t>
  </si>
  <si>
    <t>599A357FAA541903918F696DCD3AD7</t>
  </si>
  <si>
    <t>59BFC5A5B753CD135C859CEFE13DB6599A357FAA541903918F696DCD3AD7</t>
  </si>
  <si>
    <t>59BFC5A5B753CD135C859CEFE13DB6599A357FAA541903958576F3623A9A</t>
  </si>
  <si>
    <t>59BFC5A5B753CD135C859CEFE13DB6599A357FAA541913B889D26F2231C1</t>
  </si>
  <si>
    <t>합판거푸집 설치 및 해체</t>
  </si>
  <si>
    <t>간단 6회, 수직고 7m까지</t>
  </si>
  <si>
    <t>599A4550305F8EF3CC8ED7DAA1369F</t>
  </si>
  <si>
    <t>59BFC5A5B753CD135C859CEFE13DB6599A4550305F8EF3CC8ED7DAA1369F</t>
  </si>
  <si>
    <t>식생매트설치    M2  토목 2-3-1   ( 호표 8 )</t>
  </si>
  <si>
    <t>호표 8</t>
  </si>
  <si>
    <t>토목 2-3-1</t>
  </si>
  <si>
    <t>특별인부</t>
  </si>
  <si>
    <t>5946E5A8075C2BB36E886B4E6B34E5B189BFEB</t>
  </si>
  <si>
    <t>59BE15D9EF5A095344835F369B3A455946E5A8075C2BB36E886B4E6B34E5B189BFEB</t>
  </si>
  <si>
    <t>59BE15D9EF5A095344835F369B3A455946E5A8075C2BB36E886B4E6B34E5B189BFEA</t>
  </si>
  <si>
    <t>고정핀</t>
  </si>
  <si>
    <t>L=30</t>
  </si>
  <si>
    <t>582645D79E58EAB3F48D2578033E2C8B92</t>
  </si>
  <si>
    <t>59BE15D9EF5A095344835F369B3A45582645D79E58EAB3F48D2578033E2C8B92</t>
  </si>
  <si>
    <t>준공보고서  16절, 백상지, 100면  부     ( 호표 9 )</t>
  </si>
  <si>
    <t>호표 9</t>
  </si>
  <si>
    <t>보고서인쇄</t>
  </si>
  <si>
    <t>조판</t>
  </si>
  <si>
    <t>5EBF95CAD9563823A587BB3ED8330E1303AFC3</t>
  </si>
  <si>
    <t>59BFC5A5B753CD135C859CEFE13DB25EBF95CAD9563823A587BB3ED8330E1303AFC3</t>
  </si>
  <si>
    <t>제본</t>
  </si>
  <si>
    <t>5EBF95CAD9563823A587BB3ED8330E1303AFC0</t>
  </si>
  <si>
    <t>59BFC5A5B753CD135C859CEFE13DB25EBF95CAD9563823A587BB3ED8330E1303AFC0</t>
  </si>
  <si>
    <t>백상지</t>
  </si>
  <si>
    <t>A4</t>
  </si>
  <si>
    <t>장</t>
  </si>
  <si>
    <t>5EBF95CAD9563823A587BB3ED8330E1303AFC6</t>
  </si>
  <si>
    <t>59BFC5A5B753CD135C859CEFE13DB25EBF95CAD9563823A587BB3ED8330E1303AFC6</t>
  </si>
  <si>
    <t>옵셋</t>
  </si>
  <si>
    <t>5EBF95CAD9563823A587BB3ED8330E1303AFC1</t>
  </si>
  <si>
    <t>59BFC5A5B753CD135C859CEFE13DB25EBF95CAD9563823A587BB3ED8330E1303AFC1</t>
  </si>
  <si>
    <t>굴삭기(무한궤도)  0.4㎥  HR  공통 8-3,4(0201)   ( 호표 10 )</t>
  </si>
  <si>
    <t>5E8255AEBC5249639E8416FA6738926FC31506AD</t>
  </si>
  <si>
    <t>굴삭기(무한궤도)</t>
  </si>
  <si>
    <t>0.4㎥</t>
  </si>
  <si>
    <t>HR</t>
  </si>
  <si>
    <t>호표 10</t>
  </si>
  <si>
    <t>공통 8-3,4(0201)</t>
  </si>
  <si>
    <t>A</t>
  </si>
  <si>
    <t>대</t>
  </si>
  <si>
    <t>천원</t>
  </si>
  <si>
    <t>5E8255AEBC5249639E8416FA6738926FC31506</t>
  </si>
  <si>
    <t>5E8255AEBC5249639E8416FA6738926FC31506AD5E8255AEBC5249639E8416FA6738926FC31506</t>
  </si>
  <si>
    <t>경유</t>
  </si>
  <si>
    <t>경유, 저유황</t>
  </si>
  <si>
    <t>L</t>
  </si>
  <si>
    <t>5E9C95033A548A73718E82B89A3A001F94A04F</t>
  </si>
  <si>
    <t>5E8255AEBC5249639E8416FA6738926FC31506AD5E9C95033A548A73718E82B89A3A001F94A04F</t>
  </si>
  <si>
    <t>잡재료</t>
  </si>
  <si>
    <t>주연료비의 22%</t>
  </si>
  <si>
    <t>5E8255AEBC5249639E8416FA6738926FC31506AD588DD5D43258D313E18E2967B736001</t>
  </si>
  <si>
    <t>건설기계운전사</t>
  </si>
  <si>
    <t>5946E5A8075C2BB36E886B4E6B34E5B189BB05</t>
  </si>
  <si>
    <t>5E8255AEBC5249639E8416FA6738926FC31506AD5946E5A8075C2BB36E886B4E6B34E5B189BB05</t>
  </si>
  <si>
    <t>플레이트 콤팩터  1.5ton  HR  공통 8-3,4(1730)   ( 호표 11 )</t>
  </si>
  <si>
    <t>5E8255AEBC525BC382826190713E59A8C8A4E964</t>
  </si>
  <si>
    <t>플레이트 콤팩터</t>
  </si>
  <si>
    <t>1.5ton</t>
  </si>
  <si>
    <t>호표 11</t>
  </si>
  <si>
    <t>공통 8-3,4(1730)</t>
  </si>
  <si>
    <t>5E8255AEBC525BC382826190713E59A8C8A4E9</t>
  </si>
  <si>
    <t>5E8255AEBC525BC382826190713E59A8C8A4E9645E8255AEBC525BC382826190713E59A8C8A4E9</t>
  </si>
  <si>
    <t>공업용휘발유</t>
  </si>
  <si>
    <t>공업용휘발유, 무연</t>
  </si>
  <si>
    <t>5E9C95033A548A73718EBFC52E3F5FFFDD6E42</t>
  </si>
  <si>
    <t>5E8255AEBC525BC382826190713E59A8C8A4E9645E9C95033A548A73718EBFC52E3F5FFFDD6E42</t>
  </si>
  <si>
    <t>주연료비의 20%</t>
  </si>
  <si>
    <t>5E8255AEBC525BC382826190713E59A8C8A4E964588DD5D43258D313E18E2967B736001</t>
  </si>
  <si>
    <t>일반기계운전사</t>
  </si>
  <si>
    <t>5946E5A8075C2BB36E886B4E6B34E5B189BA66</t>
  </si>
  <si>
    <t>5E8255AEBC525BC382826190713E59A8C8A4E9645946E5A8075C2BB36E886B4E6B34E5B189BA66</t>
  </si>
  <si>
    <t>기초 지정  잡석지정  M3  공통 3-2-4   ( 호표 12 )</t>
  </si>
  <si>
    <t>호표 12</t>
  </si>
  <si>
    <t>공통 3-2-4</t>
  </si>
  <si>
    <t>59BEA5E7655CB8633681183C7B3DCA5946E5A8075C2BB36E886B4E6B34E5B189BFEA</t>
  </si>
  <si>
    <t>0.2㎥</t>
  </si>
  <si>
    <t>5E8255AEBC5249639E8416FA673E3BB30DC0B88F</t>
  </si>
  <si>
    <t>59BEA5E7655CB8633681183C7B3DCA5E8255AEBC5249639E8416FA673E3BB30DC0B88F</t>
  </si>
  <si>
    <t>진동롤러(핸드가이드식)</t>
  </si>
  <si>
    <t>0.7ton</t>
  </si>
  <si>
    <t>5E8255AEBC525B8326815EFA5A356860AFA5466D</t>
  </si>
  <si>
    <t>59BEA5E7655CB8633681183C7B3DCA5E8255AEBC525B8326815EFA5A356860AFA5466D</t>
  </si>
  <si>
    <t>생석회잡석다짐(기계장비)  진동롤러(핸드가이드식), 0.7ton  M3  문화재 3-12   ( 호표 13 )</t>
  </si>
  <si>
    <t>호표 13</t>
  </si>
  <si>
    <t>문화재 3-12</t>
  </si>
  <si>
    <t>마사토</t>
  </si>
  <si>
    <t>문화재용</t>
  </si>
  <si>
    <t>5EBF95C28A538FD37E83C13A4D3E34C7171F19</t>
  </si>
  <si>
    <t>599A357FAA541903918F115E5D3F735EBF95C28A538FD37E83C13A4D3E34C7171F19</t>
  </si>
  <si>
    <t>생석회</t>
  </si>
  <si>
    <t>백광</t>
  </si>
  <si>
    <t>5EBF95C28A538FD37E83C13A4D3E34C7171D6C</t>
  </si>
  <si>
    <t>599A357FAA541903918F115E5D3F735EBF95C28A538FD37E83C13A4D3E34C7171D6C</t>
  </si>
  <si>
    <t>채움자갈</t>
  </si>
  <si>
    <t>(별도), ∮40㎜ 내외</t>
  </si>
  <si>
    <t>별도</t>
  </si>
  <si>
    <t>5E9CD5FCB25D30B35288D30BA339590F731192</t>
  </si>
  <si>
    <t>599A357FAA541903918F115E5D3F735E9CD5FCB25D30B35288D30BA339590F731192</t>
  </si>
  <si>
    <t>잡석</t>
  </si>
  <si>
    <t>(별도), ∮100㎜ 내외</t>
  </si>
  <si>
    <t>5E9CD5FCB25D30B35A8C5A2C973163575228F5</t>
  </si>
  <si>
    <t>599A357FAA541903918F115E5D3F735E9CD5FCB25D30B35A8C5A2C973163575228F5</t>
  </si>
  <si>
    <t>599A357FAA541903918F115E5D3F735946E5A8075C2BB36E886B4E6B34E5B189BFEA</t>
  </si>
  <si>
    <t>599A357FAA541903918F115E5D3F735E8255AEBC525B8326815EFA5A356860AFA5466D</t>
  </si>
  <si>
    <t>공구손료</t>
  </si>
  <si>
    <t>인력품의 2%</t>
  </si>
  <si>
    <t>599A357FAA541903918F115E5D3F73588DD5D43258D313E18E2967B736001</t>
  </si>
  <si>
    <t>거친돌쌓기(기계장비) - 0.035㎥ 초과 ~ 0.3㎥ 미만    M3  문화재 11-23-2   ( 호표 14 )</t>
  </si>
  <si>
    <t>호표 14</t>
  </si>
  <si>
    <t>문화재 11-23-2</t>
  </si>
  <si>
    <t>한식석공</t>
  </si>
  <si>
    <t>문화재 직종</t>
  </si>
  <si>
    <t>5946E5A8075C2BB36E88486EDE3888141E1B92</t>
  </si>
  <si>
    <t>599A357FAA541913B889D2069334D05946E5A8075C2BB36E88486EDE3888141E1B92</t>
  </si>
  <si>
    <t>한식석공조공</t>
  </si>
  <si>
    <t>3017</t>
  </si>
  <si>
    <t>5946E5A8075C2BB36E88486EDE3888141F3B76</t>
  </si>
  <si>
    <t>599A357FAA541913B889D2069334D05946E5A8075C2BB36E88486EDE3888141F3B76</t>
  </si>
  <si>
    <t>599A357FAA541913B889D2069334D05946E5A8075C2BB36E886B4E6B34E5B189BFEA</t>
  </si>
  <si>
    <t>0.7㎥</t>
  </si>
  <si>
    <t>5E8255AEBC5249639E8416FA673B66CE02C1C86A</t>
  </si>
  <si>
    <t>599A357FAA541913B889D2069334D05E8255AEBC5249639E8416FA673B66CE02C1C86A</t>
  </si>
  <si>
    <t>인력품의 5%</t>
  </si>
  <si>
    <t>599A357FAA541913B889D2069334D0588DD5D43258D313E18E2967B736001</t>
  </si>
  <si>
    <t>채움석쌓기    M3  문화재 11-16   ( 호표 15 )</t>
  </si>
  <si>
    <t>호표 15</t>
  </si>
  <si>
    <t>문화재 11-16</t>
  </si>
  <si>
    <t>599A357FAA541913B889ECC1423BFE5946E5A8075C2BB36E88486EDE3888141E1B92</t>
  </si>
  <si>
    <t>599A357FAA541913B889ECC1423BFE5946E5A8075C2BB36E88486EDE3888141F3B76</t>
  </si>
  <si>
    <t>599A357FAA541913B889ECC1423BFE5946E5A8075C2BB36E886B4E6B34E5B189BFEA</t>
  </si>
  <si>
    <t>599A357FAA541913B889ECC1423BFE588DD5D43258D313E18E2967B736001</t>
  </si>
  <si>
    <t>굴삭기(무한궤도)  0.2㎥  HR  공통 8-3,4(0201)   ( 호표 16 )</t>
  </si>
  <si>
    <t>호표 16</t>
  </si>
  <si>
    <t>5E8255AEBC5249639E8416FA673E3BB30DC0B8</t>
  </si>
  <si>
    <t>5E8255AEBC5249639E8416FA673E3BB30DC0B88F5E8255AEBC5249639E8416FA673E3BB30DC0B8</t>
  </si>
  <si>
    <t>5E8255AEBC5249639E8416FA673E3BB30DC0B88F5E9C95033A548A73718E82B89A3A001F94A04F</t>
  </si>
  <si>
    <t>주연료비의 21%</t>
  </si>
  <si>
    <t>5E8255AEBC5249639E8416FA673E3BB30DC0B88F588DD5D43258D313E18E2967B736001</t>
  </si>
  <si>
    <t>5E8255AEBC5249639E8416FA673E3BB30DC0B88F5946E5A8075C2BB36E886B4E6B34E5B189BB05</t>
  </si>
  <si>
    <t>진동롤러(핸드가이드식)  0.7ton  HR  공통 8-3,4(1305)   ( 호표 17 )</t>
  </si>
  <si>
    <t>호표 17</t>
  </si>
  <si>
    <t>공통 8-3,4(1305)</t>
  </si>
  <si>
    <t>5E8255AEBC525B8326815EFA5A356860AFA546</t>
  </si>
  <si>
    <t>5E8255AEBC525B8326815EFA5A356860AFA5466D5E8255AEBC525B8326815EFA5A356860AFA546</t>
  </si>
  <si>
    <t>5E8255AEBC525B8326815EFA5A356860AFA5466D5E9C95033A548A73718E82B89A3A001F94A04F</t>
  </si>
  <si>
    <t>주연료비의 13%</t>
  </si>
  <si>
    <t>5E8255AEBC525B8326815EFA5A356860AFA5466D588DD5D43258D313E18E2967B736001</t>
  </si>
  <si>
    <t>5E8255AEBC525B8326815EFA5A356860AFA5466D5946E5A8075C2BB36E886B4E6B34E5B189BA66</t>
  </si>
  <si>
    <t>굴삭기(무한궤도)  0.7㎥  HR  공통 8-3,4(0201)   ( 호표 18 )</t>
  </si>
  <si>
    <t>호표 18</t>
  </si>
  <si>
    <t>5E8255AEBC5249639E8416FA673B66CE02C1C8</t>
  </si>
  <si>
    <t>5E8255AEBC5249639E8416FA673B66CE02C1C86A5E8255AEBC5249639E8416FA673B66CE02C1C8</t>
  </si>
  <si>
    <t>5E8255AEBC5249639E8416FA673B66CE02C1C86A5E9C95033A548A73718E82B89A3A001F94A04F</t>
  </si>
  <si>
    <t>5E8255AEBC5249639E8416FA673B66CE02C1C86A588DD5D43258D313E18E2967B736001</t>
  </si>
  <si>
    <t>5E8255AEBC5249639E8416FA673B66CE02C1C86A5946E5A8075C2BB36E886B4E6B34E5B189BB05</t>
  </si>
  <si>
    <t>거친돌(박석)깔기    M2  문화재 11-25   ( 호표 19 )</t>
  </si>
  <si>
    <t>호표 19</t>
  </si>
  <si>
    <t>문화재 11-25</t>
  </si>
  <si>
    <t>모래</t>
  </si>
  <si>
    <t>(별도)</t>
  </si>
  <si>
    <t>5E9CD5FCB25D30A34D849D58ED302690D91613</t>
  </si>
  <si>
    <t>599A357FAA541913B889D26F2231C15E9CD5FCB25D30A34D849D58ED302690D91613</t>
  </si>
  <si>
    <t>599A357FAA541913B889D26F2231C15946E5A8075C2BB36E88486EDE3888141E1B92</t>
  </si>
  <si>
    <t>599A357FAA541913B889D26F2231C15946E5A8075C2BB36E88486EDE3888141F3B76</t>
  </si>
  <si>
    <t>599A357FAA541913B889D26F2231C15946E5A8075C2BB36E886B4E6B34E5B189BFEA</t>
  </si>
  <si>
    <t>599A357FAA541913B889D26F2231C1588DD5D43258D313E18E2967B736001</t>
  </si>
  <si>
    <t>호표 20</t>
  </si>
  <si>
    <t>문화재 7-3</t>
  </si>
  <si>
    <t>599A357FAA541903958576F3623A9A5EBF95C28A538FD37E83C13A4D3E34C7171D6C</t>
  </si>
  <si>
    <t>시멘트</t>
  </si>
  <si>
    <t>특수시멘트,백시멘트</t>
  </si>
  <si>
    <t>5EBF95CAD855B883D580A1D12C3C1F473485F9</t>
  </si>
  <si>
    <t>599A357FAA541903958576F3623A9A5EBF95CAD855B883D580A1D12C3C1F473485F9</t>
  </si>
  <si>
    <t>599A357FAA541903958576F3623A9A5E9CD5FCB25D30A34D849D58ED302690D91613</t>
  </si>
  <si>
    <t>한식미장공조공</t>
  </si>
  <si>
    <t>3018</t>
  </si>
  <si>
    <t>5946E5A8075C2BB36E88486EDE3888141F38A1</t>
  </si>
  <si>
    <t>599A357FAA541903958576F3623A9A5946E5A8075C2BB36E88486EDE3888141F38A1</t>
  </si>
  <si>
    <t>599A357FAA541903958576F3623A9A5946E5A8075C2BB36E886B4E6B34E5B189BFEA</t>
  </si>
  <si>
    <t>599A357FAA541903958576F3623A9A588DD5D43258D313E18E2967B736001</t>
  </si>
  <si>
    <t>거친돌쌓기(기계장비) - 0.035㎥ 초과 ~ 0.3㎥ 미만  낙차공  M3  문화재 11-23-2   ( 호표 21 )</t>
  </si>
  <si>
    <t>호표 21</t>
  </si>
  <si>
    <t>599A357FAA541913B889D2069334D25946E5A8075C2BB36E88486EDE3888141E1B92</t>
  </si>
  <si>
    <t>599A357FAA541913B889D2069334D25946E5A8075C2BB36E88486EDE3888141F3B76</t>
  </si>
  <si>
    <t>599A357FAA541913B889D2069334D25946E5A8075C2BB36E886B4E6B34E5B189BFEA</t>
  </si>
  <si>
    <t>599A357FAA541913B889D2069334D25E8255AEBC5249639E8416FA673B66CE02C1C86A</t>
  </si>
  <si>
    <t>599A357FAA541913B889D2069334D2588DD5D43258D313E18E2967B736001</t>
  </si>
  <si>
    <t>거친돌쌓기(기계장비) - 0.035㎥ 초과 ~ 0.3㎥ 미만  배수로  M3  문화재 11-23-2   ( 호표 22 )</t>
  </si>
  <si>
    <t>호표 22</t>
  </si>
  <si>
    <t>599A357FAA541913B889D2069334D15946E5A8075C2BB36E88486EDE3888141E1B92</t>
  </si>
  <si>
    <t>599A357FAA541913B889D2069334D15946E5A8075C2BB36E88486EDE3888141F3B76</t>
  </si>
  <si>
    <t>599A357FAA541913B889D2069334D15946E5A8075C2BB36E886B4E6B34E5B189BFEA</t>
  </si>
  <si>
    <t>599A357FAA541913B889D2069334D15E8255AEBC5249639E8416FA673B66CE02C1C86A</t>
  </si>
  <si>
    <t>599A357FAA541913B889D2069334D1588DD5D43258D313E18E2967B736001</t>
  </si>
  <si>
    <t>생석회잡석다짐    M3  문화재 3-5   ( 호표 23 )</t>
  </si>
  <si>
    <t>호표 23</t>
  </si>
  <si>
    <t>문화재 3-5</t>
  </si>
  <si>
    <t>5EBF95C28A538FD37E83C13A4D3E34C7171D6D</t>
  </si>
  <si>
    <t>599A357FAA541903918F696DCD3AD75EBF95C28A538FD37E83C13A4D3E34C7171D6D</t>
  </si>
  <si>
    <t>599A357FAA541903918F696DCD3AD75EBF95C28A538FD37E83C13A4D3E34C7171F19</t>
  </si>
  <si>
    <t>5E9CD5FCB25D30B35288D30BA339590F731193</t>
  </si>
  <si>
    <t>599A357FAA541903918F696DCD3AD75E9CD5FCB25D30B35288D30BA339590F731193</t>
  </si>
  <si>
    <t>599A357FAA541903918F696DCD3AD75E9CD5FCB25D30B35A8C5A2C973163575228F5</t>
  </si>
  <si>
    <t>599A357FAA541903918F696DCD3AD75946E5A8075C2BB36E886B4E6B34E5B189BFEA</t>
  </si>
  <si>
    <t>599A357FAA541903918F696DCD3AD7588DD5D43258D313E18E2967B736001</t>
  </si>
  <si>
    <t>합판거푸집 설치 및 해체  간단 6회, 수직고 7m까지  M2  공통 6-3-1   ( 호표 24 )</t>
  </si>
  <si>
    <t>호표 24</t>
  </si>
  <si>
    <t>공통 6-3-1</t>
  </si>
  <si>
    <t>합판거푸집 - 자재비</t>
  </si>
  <si>
    <t>6회</t>
  </si>
  <si>
    <t>599A4550305F8EF3CD8F46F61A3242</t>
  </si>
  <si>
    <t>599A4550305F8EF3CC8ED7DAA1369F599A4550305F8EF3CD8F46F61A3242</t>
  </si>
  <si>
    <t>합판거푸집 - 인력투입</t>
  </si>
  <si>
    <t>간단, 수직고 7m까지</t>
  </si>
  <si>
    <t>599A4550305F8EF3CD8F46F61A3369</t>
  </si>
  <si>
    <t>599A4550305F8EF3CC8ED7DAA1369F599A4550305F8EF3CD8F46F61A3369</t>
  </si>
  <si>
    <t>합판거푸집 - 자재비  6회  M2  공통 6-3-1   ( 호표 25 )</t>
  </si>
  <si>
    <t>호표 25</t>
  </si>
  <si>
    <t>내수합판</t>
  </si>
  <si>
    <t>내수합판, 1급, 12*1220*2440mm</t>
  </si>
  <si>
    <t>금액제외</t>
  </si>
  <si>
    <t>5E9CD5FCB15CEC93E48E6A687432B3FFD9920C</t>
  </si>
  <si>
    <t>599A4550305F8EF3CD8F46F61A32425E9CD5FCB15CEC93E48E6A687432B3FFD9920C</t>
  </si>
  <si>
    <t>-</t>
  </si>
  <si>
    <t>599A4550305F8EF3CD8F46F61A32425EBF95CAD9562E63CC854ED0BA3D109F176536</t>
  </si>
  <si>
    <t>적용비율</t>
  </si>
  <si>
    <t>주재료비의 32.7%</t>
  </si>
  <si>
    <t>599A4550305F8EF3CD8F46F61A3242588DD5D43258D313E18E2967B732005</t>
  </si>
  <si>
    <t>소모자재(박리재 등)</t>
  </si>
  <si>
    <t>주재료비의 11%</t>
  </si>
  <si>
    <t>588DD5D43258D313E18E2967B735002</t>
  </si>
  <si>
    <t>599A4550305F8EF3CD8F46F61A3242588DD5D43258D313E18E2967B734003</t>
  </si>
  <si>
    <t>합판거푸집 - 인력투입  간단, 수직고 7m까지  M2  공통 6-3-1   ( 호표 26 )</t>
  </si>
  <si>
    <t>호표 26</t>
  </si>
  <si>
    <t>599A4550305F8EF3CD8F46F61A33695946E5A8075C2BB36E886B4E6B34E5B189BFEF</t>
  </si>
  <si>
    <t>599A4550305F8EF3CD8F46F61A33695946E5A8075C2BB36E886B4E6B34E5B189BFEA</t>
  </si>
  <si>
    <t>인력품의 1%</t>
  </si>
  <si>
    <t>599A4550305F8EF3CD8F46F61A3369588DD5D43258D313E18E2967B736001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</si>
  <si>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</si>
  <si>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</si>
  <si>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</si>
  <si>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</si>
  <si>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</si>
  <si>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</si>
  <si>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규격</t>
  </si>
  <si>
    <t>산근 1</t>
  </si>
  <si>
    <t xml:space="preserve">흙 깍기/토사  보통, 굴삭기 0.4m3  M3  공통 8-2-3  ( 산근 1 ) </t>
  </si>
  <si>
    <t>C</t>
  </si>
  <si>
    <t>산근 2</t>
  </si>
  <si>
    <t xml:space="preserve">터파기/토사  보통, 굴삭기 0.4m3 80%, 인력20%  M3  공통 8-2-3  ( 산근 2 ) </t>
  </si>
  <si>
    <t>산근 3</t>
  </si>
  <si>
    <t xml:space="preserve">성토다짐  보통, 굴삭기 0.4m3  M3  공통 8-2-3+10  ( 산근 3 ) </t>
  </si>
  <si>
    <t xml:space="preserve"> 3.플레이트콤팩터,1.5톤 </t>
  </si>
  <si>
    <t>산근 4</t>
  </si>
  <si>
    <t>산근 5</t>
  </si>
  <si>
    <t xml:space="preserve">현장내 잔토처리/토사  보통, 굴삭기 0.4m3+인력 20%  M3  공통 8-2-3  ( 산근 5 ) </t>
  </si>
  <si>
    <t>산근 6</t>
  </si>
  <si>
    <t xml:space="preserve">10.5톤카고    TON    ( 산근 6 ) 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</si>
  <si>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</si>
  <si>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</si>
  <si>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</si>
  <si>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</si>
  <si>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</si>
  <si>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</si>
  <si>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</si>
  <si>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</si>
  <si>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</si>
  <si>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</si>
  <si>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</si>
  <si>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</si>
  <si>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</si>
  <si>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</si>
  <si>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</si>
  <si>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</si>
  <si>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495</t>
  </si>
  <si>
    <t>자재 6</t>
  </si>
  <si>
    <t>109</t>
  </si>
  <si>
    <t>자재 7</t>
  </si>
  <si>
    <t>자재 8</t>
  </si>
  <si>
    <t>103</t>
  </si>
  <si>
    <t>자재 9</t>
  </si>
  <si>
    <t>물105</t>
  </si>
  <si>
    <t>자재 10</t>
  </si>
  <si>
    <t>자재 11</t>
  </si>
  <si>
    <t>자재 12</t>
  </si>
  <si>
    <t>653</t>
  </si>
  <si>
    <t>417</t>
  </si>
  <si>
    <t>자재 13</t>
  </si>
  <si>
    <t>1467</t>
  </si>
  <si>
    <t>1237</t>
  </si>
  <si>
    <t>자재 14</t>
  </si>
  <si>
    <t>한국석유공사</t>
  </si>
  <si>
    <t>자재 15</t>
  </si>
  <si>
    <t>자재 16</t>
  </si>
  <si>
    <t>자재 17</t>
  </si>
  <si>
    <t>자재 18</t>
  </si>
  <si>
    <t>자재 19</t>
  </si>
  <si>
    <t>152</t>
  </si>
  <si>
    <t>73</t>
  </si>
  <si>
    <t>자재 20</t>
  </si>
  <si>
    <t>106</t>
  </si>
  <si>
    <t>자재 21</t>
  </si>
  <si>
    <t>자재 22</t>
  </si>
  <si>
    <t>515(물가정보)</t>
  </si>
  <si>
    <t>자재 23</t>
  </si>
  <si>
    <t>105</t>
  </si>
  <si>
    <t>자재 24</t>
  </si>
  <si>
    <t>자재 25</t>
  </si>
  <si>
    <t>90</t>
  </si>
  <si>
    <t>43</t>
  </si>
  <si>
    <t>자재 26</t>
  </si>
  <si>
    <t>599A1511C85EECD31C8BCEB15D3183</t>
  </si>
  <si>
    <t>구역화 화물</t>
  </si>
  <si>
    <t>10.5톤,L:20km이하</t>
  </si>
  <si>
    <t>자재 27</t>
  </si>
  <si>
    <t>자재 28</t>
  </si>
  <si>
    <t>자재 29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</si>
  <si>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</si>
  <si>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</si>
  <si>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</si>
  <si>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</si>
  <si>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</si>
  <si>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</si>
  <si>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</si>
  <si>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</si>
  <si>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</si>
  <si>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</si>
  <si>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자재 30</t>
  </si>
  <si>
    <t>견적서 참조</t>
  </si>
  <si>
    <t>자재 31</t>
  </si>
  <si>
    <t>자재 32</t>
  </si>
  <si>
    <t>자재 33</t>
  </si>
  <si>
    <t>자재 34</t>
  </si>
  <si>
    <t>공 사 원 가 계 산 서</t>
  </si>
  <si>
    <t>공사명 : 2019북한산성 행궁지정비(5차)공사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</si>
  <si>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</si>
  <si>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</si>
  <si>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</si>
  <si>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</si>
  <si>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</si>
  <si>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</si>
  <si>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</si>
  <si>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</si>
  <si>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</si>
  <si>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</si>
  <si>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</si>
  <si>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</si>
  <si>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</si>
  <si>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</si>
  <si>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</si>
  <si>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</si>
  <si>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</si>
  <si>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</si>
  <si>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</si>
  <si>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</si>
  <si>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</si>
  <si>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</si>
  <si>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</si>
  <si>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</si>
  <si>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노무비 * 3.73%</t>
  </si>
  <si>
    <t>C5</t>
  </si>
  <si>
    <t>고  용  보  험  료</t>
  </si>
  <si>
    <t>노무비 * 0.87%</t>
  </si>
  <si>
    <t>C6</t>
  </si>
  <si>
    <t>국민  건강  보험료</t>
  </si>
  <si>
    <t>직접노무비 * 3.335%</t>
  </si>
  <si>
    <t>C7</t>
  </si>
  <si>
    <t>국민  연금  보험료</t>
  </si>
  <si>
    <t>직접노무비 * 4.5%</t>
  </si>
  <si>
    <t>CB</t>
  </si>
  <si>
    <t>노인장기요양보험료</t>
  </si>
  <si>
    <t>건강보험료 * 10.25%</t>
  </si>
  <si>
    <t>C8</t>
  </si>
  <si>
    <t>퇴직  공제  부금비</t>
  </si>
  <si>
    <t>직접노무비 * 2.3%</t>
  </si>
  <si>
    <t>CA</t>
  </si>
  <si>
    <t>산업안전보건관리비</t>
  </si>
  <si>
    <t>(재료비+직노) * 2.93%</t>
  </si>
  <si>
    <t>CG</t>
  </si>
  <si>
    <t>기   타    경   비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</si>
  <si>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</si>
  <si>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</si>
  <si>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</si>
  <si>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</si>
  <si>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</si>
  <si>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</si>
  <si>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</si>
  <si>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</si>
  <si>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</si>
  <si>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</si>
  <si>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</si>
  <si>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</si>
  <si>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</si>
  <si>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</si>
  <si>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</si>
  <si>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</si>
  <si>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</si>
  <si>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</si>
  <si>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</si>
  <si>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</si>
  <si>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</si>
  <si>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</si>
  <si>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</si>
  <si>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</si>
  <si>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</si>
  <si>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</si>
  <si>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</si>
  <si>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</si>
  <si>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</si>
  <si>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</si>
  <si>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</si>
  <si>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</si>
  <si>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</si>
  <si>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</si>
  <si>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</si>
  <si>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</si>
  <si>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</si>
  <si>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</si>
  <si>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</si>
  <si>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</si>
  <si>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</si>
  <si>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</si>
  <si>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</si>
  <si>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</si>
  <si>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공종구분명</t>
  </si>
  <si>
    <t>원가비목코드</t>
  </si>
  <si>
    <t>작 업 부 산 물</t>
  </si>
  <si>
    <t>운    반    비</t>
  </si>
  <si>
    <t>C1</t>
  </si>
  <si>
    <t>관 급 자 재 비</t>
  </si>
  <si>
    <t>DJ</t>
  </si>
  <si>
    <t>사 급 자 재 비</t>
  </si>
  <si>
    <t>D3</t>
  </si>
  <si>
    <t>외    자    재</t>
  </si>
  <si>
    <t>...</t>
  </si>
  <si>
    <t>소  계</t>
    <phoneticPr fontId="1" type="noConversion"/>
  </si>
  <si>
    <t>=</t>
    <phoneticPr fontId="1" type="noConversion"/>
  </si>
  <si>
    <t>*</t>
    <phoneticPr fontId="1" type="noConversion"/>
  </si>
  <si>
    <t>경  비 :</t>
    <phoneticPr fontId="1" type="noConversion"/>
  </si>
  <si>
    <t xml:space="preserve">하차비(/TON) </t>
  </si>
  <si>
    <t>1.1/10.5</t>
    <phoneticPr fontId="1" type="noConversion"/>
  </si>
  <si>
    <t>/</t>
    <phoneticPr fontId="1" type="noConversion"/>
  </si>
  <si>
    <t xml:space="preserve">구역화물 10.5톤 카고(L:20KM이하/TON) </t>
  </si>
  <si>
    <t xml:space="preserve">2)운반거리 : 20km이하 </t>
  </si>
  <si>
    <t xml:space="preserve">1)운반비 (구역화물 10.5T) </t>
  </si>
  <si>
    <t>노무비 :</t>
    <phoneticPr fontId="1" type="noConversion"/>
  </si>
  <si>
    <t>보통인부   1인/8HR*작업시간</t>
  </si>
  <si>
    <t>Q   시간당 작업량 (M3/HR) = 1/8/0.2/0.2=</t>
  </si>
  <si>
    <t xml:space="preserve">2.인력잔토처리,0.2인*20% </t>
  </si>
  <si>
    <t>재료비 :</t>
    <phoneticPr fontId="1" type="noConversion"/>
  </si>
  <si>
    <t>Q   시간당 작업량 (M3/HR) = 3600*Q1*K*F*E/CM/0.8=</t>
  </si>
  <si>
    <t>CM  1회 싸이클시간(90˚SEC) =</t>
  </si>
  <si>
    <t>E   작업효율(양호0.9,보통0.75,불량0.6) =</t>
  </si>
  <si>
    <t>F   토량환산계(C/L) =C/L1=</t>
  </si>
  <si>
    <t>C   다져진상태 =</t>
  </si>
  <si>
    <t>L1  흐트러진상태  =</t>
  </si>
  <si>
    <t>K   바켓계수(용이1.1) =</t>
  </si>
  <si>
    <t>Q1  바켓용량(M3) =</t>
  </si>
  <si>
    <t xml:space="preserve">1.굴삭기 (무한궤도)0.4㎥M3  </t>
  </si>
  <si>
    <t>Q   시간당 작업량(M3/HR)  =1000*V*W*D*E*F/N/0.8=</t>
    <phoneticPr fontId="1" type="noConversion"/>
  </si>
  <si>
    <t>N   소요 다짐회수  =</t>
  </si>
  <si>
    <t>D   다짐두께(M)  =</t>
  </si>
  <si>
    <t>W   유효 다짐 폭(M)  =</t>
  </si>
  <si>
    <t>V   다짐속도(KM/HR)  =</t>
  </si>
  <si>
    <t xml:space="preserve">3.플레이트콤팩터,1.5톤 </t>
  </si>
  <si>
    <t>Q   시간당 작업량 (M3/HR) = 1/8/0.24/0.2=</t>
  </si>
  <si>
    <t xml:space="preserve">2.(인력되메우기 0.1+인력흙다짐 0.14)0.24인*20% </t>
  </si>
  <si>
    <t>Q   시간당 작업량 (M3/HR) = 3600*Q1*K*F*E/CM/0.8</t>
  </si>
  <si>
    <t>CM  1회 싸이클시간(90˚SEC) =</t>
    <phoneticPr fontId="1" type="noConversion"/>
  </si>
  <si>
    <t xml:space="preserve">F   토량환산계(C/L) =C/L1= </t>
  </si>
  <si>
    <t>L1  흐트러진상태 =</t>
    <phoneticPr fontId="1" type="noConversion"/>
  </si>
  <si>
    <t>k   바켓계수 =</t>
  </si>
  <si>
    <t>되메우기/토사, 두께 10cm  보통, 굴삭기 0.4m3+플레이트콤팩터 1.5ton+인력 20%  M3  공통 8-2-3+10  ( 산근 4 )</t>
  </si>
  <si>
    <t xml:space="preserve">재료비 : </t>
    <phoneticPr fontId="1" type="noConversion"/>
  </si>
  <si>
    <t>Q   시간당 작업량(M3/HR)  =1000*V*W*D*E*F/N/0.7=</t>
  </si>
  <si>
    <t>N   소요 다짐회수  =</t>
    <phoneticPr fontId="1" type="noConversion"/>
  </si>
  <si>
    <t>F   토량환산계(L1/L1) =L1/L1=</t>
  </si>
  <si>
    <t>E   작업효율(양호0.8,보통0.6,불량0.4) =</t>
  </si>
  <si>
    <t>W   유효 다짐 폭(M)  =</t>
    <phoneticPr fontId="1" type="noConversion"/>
  </si>
  <si>
    <t>소  계 :</t>
    <phoneticPr fontId="1" type="noConversion"/>
  </si>
  <si>
    <t>Q   시간당 작업량 (M3/HR) = 1/8/0.24/0.3=</t>
  </si>
  <si>
    <t xml:space="preserve">2.(인력되메우기 0.1+인력흙다짐 0.14)0.24인*30% </t>
  </si>
  <si>
    <t>Q   시간당 작업량 (M3/HR) = 3600*Q1*K*F*E/CM/0.7=</t>
  </si>
  <si>
    <t>E   작업효율(양호0.9,보통0.75,불량0.6)   =</t>
    <phoneticPr fontId="1" type="noConversion"/>
  </si>
  <si>
    <t>총  계 :</t>
    <phoneticPr fontId="1" type="noConversion"/>
  </si>
  <si>
    <t>1/8/3.13  =</t>
  </si>
  <si>
    <t>노무비:</t>
    <phoneticPr fontId="1" type="noConversion"/>
  </si>
  <si>
    <t>'Q   시간당 작업량 (M3/HR) = 1/8/0.2/0.2=</t>
  </si>
  <si>
    <t xml:space="preserve">2.인력터파기,0-1m,보통인부0.2인*30% </t>
    <phoneticPr fontId="1" type="noConversion"/>
  </si>
  <si>
    <t>경  비:</t>
    <phoneticPr fontId="1" type="noConversion"/>
  </si>
  <si>
    <t>'Q   시간당 작업량 (M3/HR) = 3600*Q1*K*F*E/CM/0.8=</t>
  </si>
  <si>
    <t>'CM  1회 싸이클시간(135˚SEC) =</t>
  </si>
  <si>
    <t>'E   작업효율사질토(양호0.85,보통0.70,불량0.55) = 0.70-E1=</t>
  </si>
  <si>
    <t>'E1  터파기에 대하여 -0.05 =</t>
  </si>
  <si>
    <t>'F   토량환산계수(1/L) = 1/1.25=</t>
  </si>
  <si>
    <t>'K   바켓계수(양호1.1,보통0.90,불량0.70,파쇄암0.55) =</t>
  </si>
  <si>
    <t>'Q1  바켓용량(M3)  =</t>
  </si>
  <si>
    <t>'CM  1회 싸이클시간(90˚SEC) =</t>
  </si>
  <si>
    <t>'E   작업효율사질토(양호0.85,보통0.70,불량0.55) =</t>
  </si>
  <si>
    <t>총  계</t>
    <phoneticPr fontId="1" type="noConversion"/>
  </si>
  <si>
    <t>=</t>
    <phoneticPr fontId="1" type="noConversion"/>
  </si>
  <si>
    <t>*</t>
    <phoneticPr fontId="1" type="noConversion"/>
  </si>
  <si>
    <t>/</t>
    <phoneticPr fontId="1" type="noConversion"/>
  </si>
  <si>
    <t>경  비 :</t>
    <phoneticPr fontId="1" type="noConversion"/>
  </si>
  <si>
    <t xml:space="preserve">소  계 </t>
    <phoneticPr fontId="1" type="noConversion"/>
  </si>
  <si>
    <t>1/8/3.13</t>
    <phoneticPr fontId="1" type="noConversion"/>
  </si>
  <si>
    <t>/</t>
    <phoneticPr fontId="1" type="noConversion"/>
  </si>
  <si>
    <t>경  비 :</t>
    <phoneticPr fontId="1" type="noConversion"/>
  </si>
  <si>
    <t>=</t>
    <phoneticPr fontId="1" type="noConversion"/>
  </si>
  <si>
    <t>총  계</t>
    <phoneticPr fontId="1" type="noConversion"/>
  </si>
  <si>
    <t>소  계</t>
    <phoneticPr fontId="1" type="noConversion"/>
  </si>
  <si>
    <t>노무비 :</t>
    <phoneticPr fontId="1" type="noConversion"/>
  </si>
  <si>
    <t>/</t>
    <phoneticPr fontId="1" type="noConversion"/>
  </si>
  <si>
    <t>재료비 :</t>
    <phoneticPr fontId="1" type="noConversion"/>
  </si>
  <si>
    <t>F   토량환산계(L1/L1) =L1/L1=</t>
    <phoneticPr fontId="1" type="noConversion"/>
  </si>
  <si>
    <t>E   작업효율(양호0.8,보통0.6,불량0.4)=</t>
    <phoneticPr fontId="1" type="noConversion"/>
  </si>
  <si>
    <t>소  계</t>
    <phoneticPr fontId="1" type="noConversion"/>
  </si>
  <si>
    <t>1/8/2.6</t>
    <phoneticPr fontId="1" type="noConversion"/>
  </si>
  <si>
    <t>소  계</t>
    <phoneticPr fontId="1" type="noConversion"/>
  </si>
  <si>
    <t xml:space="preserve">총  계 </t>
    <phoneticPr fontId="1" type="noConversion"/>
  </si>
  <si>
    <t>1/8/</t>
    <phoneticPr fontId="1" type="noConversion"/>
  </si>
  <si>
    <t xml:space="preserve">노무비 : </t>
    <phoneticPr fontId="1" type="noConversion"/>
  </si>
  <si>
    <t>=</t>
    <phoneticPr fontId="1" type="noConversion"/>
  </si>
  <si>
    <t>재료비 :</t>
    <phoneticPr fontId="1" type="noConversion"/>
  </si>
  <si>
    <t>L1  흐트러진상태  =</t>
    <phoneticPr fontId="1" type="noConversion"/>
  </si>
  <si>
    <t>소  계 :</t>
    <phoneticPr fontId="1" type="noConversion"/>
  </si>
  <si>
    <t>재료비:</t>
    <phoneticPr fontId="1" type="noConversion"/>
  </si>
  <si>
    <t xml:space="preserve">1.굴삭기(무한궤도),0.4㎥80%+인력20% M3  </t>
    <phoneticPr fontId="1" type="noConversion"/>
  </si>
  <si>
    <t>경비 :</t>
    <phoneticPr fontId="1" type="noConversion"/>
  </si>
  <si>
    <t>'Q   시간당 작업량 (M3/HR) = 3600*Q1*K*F*E/CM=</t>
    <phoneticPr fontId="1" type="noConversion"/>
  </si>
  <si>
    <t xml:space="preserve">1. 굴삭기(무한궤도) 0.4㎥M3  </t>
    <phoneticPr fontId="1" type="noConversion"/>
  </si>
  <si>
    <t>노임계수적용한 시간단가</t>
    <phoneticPr fontId="1" type="noConversion"/>
  </si>
  <si>
    <t>생석회모르타르(1:3)</t>
    <phoneticPr fontId="1" type="noConversion"/>
  </si>
  <si>
    <t>생석회모르타르(1:3)</t>
    <phoneticPr fontId="1" type="noConversion"/>
  </si>
  <si>
    <t>생석회모르타르(1:3)    M3  문화재 7-4   ( 호표 20 )</t>
    <phoneticPr fontId="1" type="noConversion"/>
  </si>
  <si>
    <t>금액 : 오억이천구백칠십칠만원(￦529,770,000)</t>
    <phoneticPr fontId="1" type="noConversion"/>
  </si>
  <si>
    <t>직접노무비 * 11.6%</t>
    <phoneticPr fontId="1" type="noConversion"/>
  </si>
  <si>
    <t>(재료비+노무비) * 6.7%</t>
    <phoneticPr fontId="1" type="noConversion"/>
  </si>
  <si>
    <t>계약심사 조정내역</t>
    <phoneticPr fontId="17" type="noConversion"/>
  </si>
  <si>
    <t>○ 공 사 명 : 사적 제479호 북한산성 행궁지정비(5차) 공사</t>
    <phoneticPr fontId="21" type="noConversion"/>
  </si>
  <si>
    <t>(단위 : 천원)</t>
  </si>
  <si>
    <t>구       분</t>
    <phoneticPr fontId="17" type="noConversion"/>
  </si>
  <si>
    <t>설계금액</t>
  </si>
  <si>
    <t>심사금액</t>
    <phoneticPr fontId="17" type="noConversion"/>
  </si>
  <si>
    <t>조정액</t>
    <phoneticPr fontId="17" type="noConversion"/>
  </si>
  <si>
    <t>기준 (%)</t>
    <phoneticPr fontId="17" type="noConversion"/>
  </si>
  <si>
    <t>비  고</t>
    <phoneticPr fontId="21" type="noConversion"/>
  </si>
  <si>
    <t>설계</t>
    <phoneticPr fontId="17" type="noConversion"/>
  </si>
  <si>
    <t>심사</t>
    <phoneticPr fontId="17" type="noConversion"/>
  </si>
  <si>
    <t xml:space="preserve"> 직접공사비</t>
    <phoneticPr fontId="17" type="noConversion"/>
  </si>
  <si>
    <t xml:space="preserve"> 제경비</t>
    <phoneticPr fontId="17" type="noConversion"/>
  </si>
  <si>
    <t>간접노무비</t>
    <phoneticPr fontId="17" type="noConversion"/>
  </si>
  <si>
    <t>산재보험료</t>
    <phoneticPr fontId="17" type="noConversion"/>
  </si>
  <si>
    <t>고용보험료</t>
    <phoneticPr fontId="17" type="noConversion"/>
  </si>
  <si>
    <t>건강보험료</t>
    <phoneticPr fontId="17" type="noConversion"/>
  </si>
  <si>
    <t>연금보험료</t>
    <phoneticPr fontId="17" type="noConversion"/>
  </si>
  <si>
    <t>노인장기요양보험료</t>
    <phoneticPr fontId="21" type="noConversion"/>
  </si>
  <si>
    <t>퇴직공제부금비</t>
    <phoneticPr fontId="17" type="noConversion"/>
  </si>
  <si>
    <t>산업안전보건관리비</t>
    <phoneticPr fontId="17" type="noConversion"/>
  </si>
  <si>
    <t>기타경비</t>
    <phoneticPr fontId="17" type="noConversion"/>
  </si>
  <si>
    <t>일반관리비</t>
    <phoneticPr fontId="17" type="noConversion"/>
  </si>
  <si>
    <t>이윤</t>
    <phoneticPr fontId="17" type="noConversion"/>
  </si>
  <si>
    <t xml:space="preserve"> 합      계</t>
    <phoneticPr fontId="17" type="noConversion"/>
  </si>
  <si>
    <t xml:space="preserve"> 부가가치세</t>
    <phoneticPr fontId="17" type="noConversion"/>
  </si>
  <si>
    <t xml:space="preserve"> 도  급  액</t>
    <phoneticPr fontId="17" type="noConversion"/>
  </si>
  <si>
    <t>조정률</t>
    <phoneticPr fontId="17" type="noConversion"/>
  </si>
  <si>
    <t xml:space="preserve"> 총 공 사 비</t>
    <phoneticPr fontId="17" type="noConversion"/>
  </si>
  <si>
    <t>조정내용</t>
    <phoneticPr fontId="28" type="noConversion"/>
  </si>
  <si>
    <t>○ 일위대가 및 단가산출 등 조정 : 6종(증6종)</t>
    <phoneticPr fontId="21" type="noConversion"/>
  </si>
  <si>
    <t>○ 가격정보 등을 통한 자재단가 조정 : 2종</t>
    <phoneticPr fontId="17" type="noConversion"/>
  </si>
  <si>
    <t>문화재 7-4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</si>
</sst>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176" formatCode="#,###"/>
    <numFmt numFmtId="177" formatCode="#,##0.00#"/>
    <numFmt numFmtId="178" formatCode="#,##0.0"/>
    <numFmt numFmtId="179" formatCode="#,##0.0;\-#,##0.0;#"/>
    <numFmt numFmtId="180" formatCode="#,##0;\-#,##0;#"/>
    <numFmt numFmtId="181" formatCode="#,##0.00#;\-#,##0.00#;#"/>
    <numFmt numFmtId="182" formatCode="0.0_ "/>
    <numFmt numFmtId="183" formatCode="#,##0.0_);[Red]\(#,##0.0\)"/>
    <numFmt numFmtId="184" formatCode="#,##0_);[Red]\(#,##0\)"/>
    <numFmt numFmtId="185" formatCode="#,##0_ "/>
    <numFmt numFmtId="186" formatCode="#,##0.00_ "/>
    <numFmt numFmtId="187" formatCode="0.00_);[Red]\(0.00\)"/>
    <numFmt numFmtId="188" formatCode="#,##0.0_ "/>
    <numFmt numFmtId="189" formatCode="0.00_ "/>
    <numFmt numFmtId="190" formatCode="0.0000_ "/>
    <numFmt numFmtId="191" formatCode="0.000_ "/>
    <numFmt numFmtId="192" formatCode="#,##0.00_);[Red]\(#,##0.00\)"/>
    <numFmt numFmtId="193" formatCode="0_ "/>
    <numFmt numFmtId="194" formatCode="_-* #,##0.0_-;\-* #,##0.0_-;_-* &quot;-&quot;_-;_-@_-"/>
    <numFmt numFmtId="195" formatCode="0.0"/>
    <numFmt numFmtId="196" formatCode="0E+00"/>
    <numFmt numFmtId="197" formatCode="_ &quot;₩&quot;* #,##0_ ;_ &quot;₩&quot;* \-#,##0_ ;_ &quot;₩&quot;* &quot;-&quot;_ ;_ @_ "/>
    <numFmt numFmtId="198" formatCode="#,###,"/>
  </numFmts>
  <fonts count="3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0"/>
      <name val="Arial"/>
      <family val="2"/>
    </font>
    <font>
      <b/>
      <u val="double"/>
      <sz val="38"/>
      <name val="HY헤드라인M"/>
      <family val="1"/>
      <charset val="129"/>
    </font>
    <font>
      <sz val="8"/>
      <name val="굴림체"/>
      <family val="3"/>
      <charset val="129"/>
    </font>
    <font>
      <sz val="12"/>
      <name val="바탕체"/>
      <family val="1"/>
      <charset val="129"/>
    </font>
    <font>
      <sz val="12"/>
      <name val="맑은 고딕"/>
      <family val="3"/>
      <charset val="129"/>
    </font>
    <font>
      <sz val="26"/>
      <name val="HY헤드라인M"/>
      <family val="1"/>
      <charset val="129"/>
    </font>
    <font>
      <sz val="8"/>
      <name val="돋움"/>
      <family val="3"/>
      <charset val="129"/>
    </font>
    <font>
      <sz val="16"/>
      <name val="맑은 고딕"/>
      <family val="3"/>
      <charset val="129"/>
    </font>
    <font>
      <sz val="18"/>
      <name val="HY헤드라인M"/>
      <family val="1"/>
      <charset val="129"/>
    </font>
    <font>
      <b/>
      <sz val="22"/>
      <name val="맑은 고딕"/>
      <family val="3"/>
      <charset val="129"/>
    </font>
    <font>
      <sz val="22"/>
      <name val="맑은 고딕"/>
      <family val="3"/>
      <charset val="129"/>
    </font>
    <font>
      <sz val="22"/>
      <color indexed="8"/>
      <name val="맑은 고딕"/>
      <family val="3"/>
      <charset val="129"/>
    </font>
    <font>
      <b/>
      <sz val="22"/>
      <color indexed="8"/>
      <name val="맑은 고딕"/>
      <family val="3"/>
      <charset val="129"/>
    </font>
    <font>
      <sz val="8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굴림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3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0" borderId="0"/>
    <xf numFmtId="0" fontId="15" fillId="0" borderId="0"/>
    <xf numFmtId="0" fontId="13" fillId="0" borderId="0"/>
    <xf numFmtId="0" fontId="18" fillId="0" borderId="0"/>
    <xf numFmtId="197" fontId="13" fillId="0" borderId="0" applyFont="0" applyFill="0" applyBorder="0" applyAlignment="0" applyProtection="0"/>
  </cellStyleXfs>
  <cellXfs count="315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7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181" fontId="5" fillId="0" borderId="1" xfId="0" quotePrefix="1" applyNumberFormat="1" applyFont="1" applyBorder="1" applyAlignment="1">
      <alignment vertical="center" wrapText="1"/>
    </xf>
    <xf numFmtId="181" fontId="5" fillId="0" borderId="1" xfId="0" applyNumberFormat="1" applyFont="1" applyBorder="1" applyAlignment="1">
      <alignment vertical="center" wrapText="1"/>
    </xf>
    <xf numFmtId="181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182" fontId="5" fillId="0" borderId="3" xfId="0" applyNumberFormat="1" applyFont="1" applyBorder="1" applyAlignment="1">
      <alignment vertical="center"/>
    </xf>
    <xf numFmtId="0" fontId="5" fillId="0" borderId="0" xfId="0" quotePrefix="1" applyFont="1" applyBorder="1">
      <alignment vertical="center"/>
    </xf>
    <xf numFmtId="0" fontId="5" fillId="0" borderId="6" xfId="0" quotePrefix="1" applyFont="1" applyBorder="1">
      <alignment vertical="center"/>
    </xf>
    <xf numFmtId="183" fontId="5" fillId="0" borderId="5" xfId="0" applyNumberFormat="1" applyFont="1" applyBorder="1" applyAlignment="1">
      <alignment vertical="center" wrapText="1"/>
    </xf>
    <xf numFmtId="0" fontId="5" fillId="0" borderId="5" xfId="0" quotePrefix="1" applyFont="1" applyBorder="1">
      <alignment vertical="center"/>
    </xf>
    <xf numFmtId="0" fontId="5" fillId="0" borderId="3" xfId="0" applyFont="1" applyBorder="1" applyAlignment="1">
      <alignment vertical="center"/>
    </xf>
    <xf numFmtId="183" fontId="5" fillId="0" borderId="3" xfId="0" applyNumberFormat="1" applyFont="1" applyBorder="1" applyAlignment="1">
      <alignment vertical="center" wrapText="1"/>
    </xf>
    <xf numFmtId="183" fontId="5" fillId="0" borderId="0" xfId="0" applyNumberFormat="1" applyFont="1" applyBorder="1" applyAlignment="1">
      <alignment vertical="center" wrapText="1"/>
    </xf>
    <xf numFmtId="179" fontId="5" fillId="0" borderId="0" xfId="0" applyNumberFormat="1" applyFont="1" applyBorder="1" applyAlignment="1">
      <alignment vertical="center" wrapText="1"/>
    </xf>
    <xf numFmtId="179" fontId="5" fillId="0" borderId="5" xfId="0" applyNumberFormat="1" applyFont="1" applyBorder="1" applyAlignment="1">
      <alignment vertical="center" wrapText="1"/>
    </xf>
    <xf numFmtId="184" fontId="5" fillId="0" borderId="5" xfId="0" applyNumberFormat="1" applyFont="1" applyBorder="1" applyAlignment="1">
      <alignment vertical="center" wrapText="1"/>
    </xf>
    <xf numFmtId="184" fontId="5" fillId="0" borderId="3" xfId="0" applyNumberFormat="1" applyFont="1" applyBorder="1" applyAlignment="1">
      <alignment vertical="center" wrapText="1"/>
    </xf>
    <xf numFmtId="184" fontId="5" fillId="0" borderId="0" xfId="0" applyNumberFormat="1" applyFont="1" applyBorder="1" applyAlignment="1">
      <alignment vertical="center" wrapText="1"/>
    </xf>
    <xf numFmtId="185" fontId="5" fillId="0" borderId="5" xfId="0" applyNumberFormat="1" applyFont="1" applyBorder="1" applyAlignment="1">
      <alignment vertical="center" wrapText="1"/>
    </xf>
    <xf numFmtId="185" fontId="5" fillId="0" borderId="3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5" fillId="0" borderId="0" xfId="0" quotePrefix="1" applyFont="1" applyBorder="1" applyAlignment="1">
      <alignment horizontal="right" vertical="center"/>
    </xf>
    <xf numFmtId="179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>
      <alignment vertical="center"/>
    </xf>
    <xf numFmtId="182" fontId="5" fillId="0" borderId="7" xfId="0" applyNumberFormat="1" applyFont="1" applyBorder="1" applyAlignment="1">
      <alignment vertical="center"/>
    </xf>
    <xf numFmtId="182" fontId="5" fillId="0" borderId="4" xfId="0" applyNumberFormat="1" applyFont="1" applyBorder="1" applyAlignment="1">
      <alignment vertical="center"/>
    </xf>
    <xf numFmtId="186" fontId="5" fillId="3" borderId="8" xfId="0" applyNumberFormat="1" applyFont="1" applyFill="1" applyBorder="1" applyAlignment="1">
      <alignment vertical="center" wrapText="1"/>
    </xf>
    <xf numFmtId="186" fontId="5" fillId="2" borderId="4" xfId="0" applyNumberFormat="1" applyFont="1" applyFill="1" applyBorder="1" applyAlignment="1">
      <alignment vertical="center" wrapText="1"/>
    </xf>
    <xf numFmtId="0" fontId="5" fillId="0" borderId="7" xfId="0" quotePrefix="1" applyFont="1" applyBorder="1">
      <alignment vertical="center"/>
    </xf>
    <xf numFmtId="0" fontId="5" fillId="0" borderId="8" xfId="0" quotePrefix="1" applyFont="1" applyBorder="1">
      <alignment vertical="center"/>
    </xf>
    <xf numFmtId="0" fontId="5" fillId="0" borderId="9" xfId="0" quotePrefix="1" applyFont="1" applyBorder="1">
      <alignment vertical="center"/>
    </xf>
    <xf numFmtId="182" fontId="5" fillId="0" borderId="5" xfId="0" applyNumberFormat="1" applyFont="1" applyBorder="1" applyAlignment="1">
      <alignment vertical="center"/>
    </xf>
    <xf numFmtId="179" fontId="5" fillId="4" borderId="0" xfId="0" applyNumberFormat="1" applyFont="1" applyFill="1" applyBorder="1" applyAlignment="1">
      <alignment vertical="center" wrapText="1"/>
    </xf>
    <xf numFmtId="182" fontId="5" fillId="0" borderId="0" xfId="0" quotePrefix="1" applyNumberFormat="1" applyFont="1" applyBorder="1">
      <alignment vertical="center"/>
    </xf>
    <xf numFmtId="187" fontId="5" fillId="0" borderId="0" xfId="0" quotePrefix="1" applyNumberFormat="1" applyFont="1" applyBorder="1" applyAlignment="1">
      <alignment vertical="center" shrinkToFit="1"/>
    </xf>
    <xf numFmtId="0" fontId="5" fillId="0" borderId="0" xfId="0" quotePrefix="1" applyFont="1" applyBorder="1" applyAlignment="1">
      <alignment horizontal="center" vertical="center"/>
    </xf>
    <xf numFmtId="188" fontId="5" fillId="0" borderId="5" xfId="0" applyNumberFormat="1" applyFont="1" applyBorder="1" applyAlignment="1">
      <alignment vertical="center" wrapText="1"/>
    </xf>
    <xf numFmtId="188" fontId="5" fillId="0" borderId="3" xfId="0" applyNumberFormat="1" applyFont="1" applyBorder="1" applyAlignment="1">
      <alignment vertical="center" wrapText="1"/>
    </xf>
    <xf numFmtId="182" fontId="5" fillId="0" borderId="5" xfId="0" applyNumberFormat="1" applyFont="1" applyBorder="1">
      <alignment vertical="center"/>
    </xf>
    <xf numFmtId="182" fontId="5" fillId="0" borderId="3" xfId="0" applyNumberFormat="1" applyFont="1" applyBorder="1">
      <alignment vertical="center"/>
    </xf>
    <xf numFmtId="189" fontId="5" fillId="0" borderId="0" xfId="0" applyNumberFormat="1" applyFont="1" applyBorder="1">
      <alignment vertical="center"/>
    </xf>
    <xf numFmtId="190" fontId="5" fillId="0" borderId="0" xfId="0" applyNumberFormat="1" applyFont="1" applyBorder="1">
      <alignment vertical="center"/>
    </xf>
    <xf numFmtId="191" fontId="5" fillId="0" borderId="0" xfId="0" applyNumberFormat="1" applyFont="1" applyBorder="1">
      <alignment vertical="center"/>
    </xf>
    <xf numFmtId="0" fontId="5" fillId="0" borderId="0" xfId="0" quotePrefix="1" applyFont="1" applyBorder="1" applyAlignment="1">
      <alignment vertical="center" wrapText="1"/>
    </xf>
    <xf numFmtId="188" fontId="5" fillId="0" borderId="0" xfId="0" applyNumberFormat="1" applyFont="1" applyBorder="1" applyAlignment="1">
      <alignment vertical="center" wrapText="1"/>
    </xf>
    <xf numFmtId="186" fontId="5" fillId="3" borderId="0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92" fontId="5" fillId="4" borderId="0" xfId="0" applyNumberFormat="1" applyFont="1" applyFill="1" applyBorder="1" applyAlignment="1">
      <alignment vertical="center" wrapText="1"/>
    </xf>
    <xf numFmtId="0" fontId="5" fillId="0" borderId="0" xfId="0" quotePrefix="1" applyFont="1" applyBorder="1" applyAlignment="1">
      <alignment vertical="center" shrinkToFit="1"/>
    </xf>
    <xf numFmtId="191" fontId="5" fillId="0" borderId="0" xfId="0" quotePrefix="1" applyNumberFormat="1" applyFont="1" applyBorder="1" applyAlignment="1">
      <alignment vertical="center" shrinkToFit="1"/>
    </xf>
    <xf numFmtId="182" fontId="5" fillId="0" borderId="0" xfId="0" applyNumberFormat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182" fontId="5" fillId="0" borderId="0" xfId="0" quotePrefix="1" applyNumberFormat="1" applyFont="1" applyBorder="1" applyAlignment="1">
      <alignment vertical="center"/>
    </xf>
    <xf numFmtId="0" fontId="5" fillId="5" borderId="4" xfId="0" quotePrefix="1" applyFont="1" applyFill="1" applyBorder="1" applyAlignment="1">
      <alignment vertical="center" wrapText="1"/>
    </xf>
    <xf numFmtId="193" fontId="5" fillId="5" borderId="7" xfId="0" applyNumberFormat="1" applyFont="1" applyFill="1" applyBorder="1" applyAlignment="1">
      <alignment vertical="center"/>
    </xf>
    <xf numFmtId="193" fontId="5" fillId="5" borderId="4" xfId="0" applyNumberFormat="1" applyFont="1" applyFill="1" applyBorder="1" applyAlignment="1">
      <alignment vertical="center"/>
    </xf>
    <xf numFmtId="182" fontId="5" fillId="5" borderId="8" xfId="0" applyNumberFormat="1" applyFont="1" applyFill="1" applyBorder="1" applyAlignment="1">
      <alignment vertical="center"/>
    </xf>
    <xf numFmtId="182" fontId="5" fillId="5" borderId="4" xfId="0" applyNumberFormat="1" applyFont="1" applyFill="1" applyBorder="1" applyAlignment="1">
      <alignment vertical="center"/>
    </xf>
    <xf numFmtId="0" fontId="5" fillId="5" borderId="4" xfId="0" applyFont="1" applyFill="1" applyBorder="1">
      <alignment vertical="center"/>
    </xf>
    <xf numFmtId="0" fontId="5" fillId="5" borderId="4" xfId="0" applyFont="1" applyFill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82" fontId="5" fillId="0" borderId="8" xfId="0" quotePrefix="1" applyNumberFormat="1" applyFont="1" applyBorder="1" applyAlignment="1">
      <alignment vertical="center"/>
    </xf>
    <xf numFmtId="0" fontId="5" fillId="0" borderId="8" xfId="0" quotePrefix="1" applyFont="1" applyBorder="1" applyAlignment="1">
      <alignment horizontal="center" vertical="center"/>
    </xf>
    <xf numFmtId="0" fontId="5" fillId="6" borderId="3" xfId="0" quotePrefix="1" applyFont="1" applyFill="1" applyBorder="1" applyAlignment="1">
      <alignment vertical="center" wrapText="1"/>
    </xf>
    <xf numFmtId="182" fontId="5" fillId="6" borderId="5" xfId="0" applyNumberFormat="1" applyFont="1" applyFill="1" applyBorder="1" applyAlignment="1">
      <alignment vertical="center"/>
    </xf>
    <xf numFmtId="182" fontId="5" fillId="6" borderId="3" xfId="0" applyNumberFormat="1" applyFont="1" applyFill="1" applyBorder="1" applyAlignment="1">
      <alignment vertical="center"/>
    </xf>
    <xf numFmtId="182" fontId="5" fillId="6" borderId="0" xfId="0" applyNumberFormat="1" applyFont="1" applyFill="1" applyBorder="1" applyAlignment="1">
      <alignment vertical="center"/>
    </xf>
    <xf numFmtId="0" fontId="5" fillId="6" borderId="3" xfId="0" applyFont="1" applyFill="1" applyBorder="1">
      <alignment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91" fontId="5" fillId="0" borderId="0" xfId="0" applyNumberFormat="1" applyFont="1" applyBorder="1" applyAlignment="1">
      <alignment vertical="center"/>
    </xf>
    <xf numFmtId="190" fontId="5" fillId="0" borderId="0" xfId="0" applyNumberFormat="1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quotePrefix="1" applyFont="1" applyBorder="1">
      <alignment vertical="center"/>
    </xf>
    <xf numFmtId="0" fontId="9" fillId="0" borderId="6" xfId="0" quotePrefix="1" applyFont="1" applyBorder="1">
      <alignment vertical="center"/>
    </xf>
    <xf numFmtId="0" fontId="5" fillId="0" borderId="8" xfId="0" applyFont="1" applyBorder="1" applyAlignment="1">
      <alignment vertical="center"/>
    </xf>
    <xf numFmtId="184" fontId="5" fillId="6" borderId="3" xfId="0" applyNumberFormat="1" applyFont="1" applyFill="1" applyBorder="1" applyAlignment="1">
      <alignment vertical="center" wrapText="1"/>
    </xf>
    <xf numFmtId="182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182" fontId="5" fillId="0" borderId="0" xfId="0" quotePrefix="1" applyNumberFormat="1" applyFont="1" applyBorder="1" applyAlignment="1">
      <alignment vertical="center" shrinkToFit="1"/>
    </xf>
    <xf numFmtId="0" fontId="5" fillId="0" borderId="0" xfId="0" quotePrefix="1" applyFont="1" applyBorder="1" applyAlignment="1">
      <alignment horizontal="left" vertical="center"/>
    </xf>
    <xf numFmtId="180" fontId="5" fillId="2" borderId="3" xfId="0" applyNumberFormat="1" applyFont="1" applyFill="1" applyBorder="1" applyAlignment="1">
      <alignment vertical="center" wrapText="1"/>
    </xf>
    <xf numFmtId="179" fontId="5" fillId="5" borderId="4" xfId="0" applyNumberFormat="1" applyFont="1" applyFill="1" applyBorder="1" applyAlignment="1">
      <alignment vertical="center" wrapText="1"/>
    </xf>
    <xf numFmtId="179" fontId="5" fillId="6" borderId="3" xfId="0" applyNumberFormat="1" applyFont="1" applyFill="1" applyBorder="1" applyAlignment="1">
      <alignment vertical="center" wrapText="1"/>
    </xf>
    <xf numFmtId="2" fontId="5" fillId="0" borderId="0" xfId="0" quotePrefix="1" applyNumberFormat="1" applyFont="1" applyBorder="1" applyAlignment="1">
      <alignment horizontal="center" vertical="center"/>
    </xf>
    <xf numFmtId="190" fontId="5" fillId="0" borderId="0" xfId="0" quotePrefix="1" applyNumberFormat="1" applyFont="1" applyBorder="1">
      <alignment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>
      <alignment vertical="center"/>
    </xf>
    <xf numFmtId="192" fontId="5" fillId="0" borderId="3" xfId="0" quotePrefix="1" applyNumberFormat="1" applyFont="1" applyBorder="1" applyAlignment="1">
      <alignment vertical="center" wrapText="1"/>
    </xf>
    <xf numFmtId="192" fontId="5" fillId="2" borderId="4" xfId="0" applyNumberFormat="1" applyFont="1" applyFill="1" applyBorder="1" applyAlignment="1">
      <alignment vertical="center" wrapText="1"/>
    </xf>
    <xf numFmtId="188" fontId="5" fillId="2" borderId="3" xfId="0" applyNumberFormat="1" applyFont="1" applyFill="1" applyBorder="1" applyAlignment="1">
      <alignment vertical="center" wrapText="1"/>
    </xf>
    <xf numFmtId="41" fontId="5" fillId="0" borderId="5" xfId="1" applyFont="1" applyBorder="1" applyAlignment="1">
      <alignment vertical="center"/>
    </xf>
    <xf numFmtId="194" fontId="5" fillId="6" borderId="5" xfId="1" applyNumberFormat="1" applyFont="1" applyFill="1" applyBorder="1" applyAlignment="1">
      <alignment vertical="center"/>
    </xf>
    <xf numFmtId="188" fontId="5" fillId="6" borderId="3" xfId="0" applyNumberFormat="1" applyFont="1" applyFill="1" applyBorder="1" applyAlignment="1">
      <alignment vertical="center" wrapText="1"/>
    </xf>
    <xf numFmtId="191" fontId="5" fillId="0" borderId="0" xfId="0" quotePrefix="1" applyNumberFormat="1" applyFont="1" applyBorder="1">
      <alignment vertical="center"/>
    </xf>
    <xf numFmtId="185" fontId="5" fillId="0" borderId="0" xfId="0" quotePrefix="1" applyNumberFormat="1" applyFont="1" applyBorder="1">
      <alignment vertical="center"/>
    </xf>
    <xf numFmtId="188" fontId="5" fillId="0" borderId="0" xfId="0" quotePrefix="1" applyNumberFormat="1" applyFont="1" applyBorder="1" applyAlignment="1">
      <alignment horizontal="center" vertical="center"/>
    </xf>
    <xf numFmtId="185" fontId="5" fillId="0" borderId="0" xfId="0" quotePrefix="1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vertical="center" wrapText="1"/>
    </xf>
    <xf numFmtId="41" fontId="5" fillId="5" borderId="7" xfId="1" applyFont="1" applyFill="1" applyBorder="1" applyAlignment="1">
      <alignment vertical="center"/>
    </xf>
    <xf numFmtId="0" fontId="5" fillId="0" borderId="8" xfId="0" quotePrefix="1" applyFont="1" applyBorder="1" applyAlignment="1">
      <alignment vertical="center" shrinkToFit="1"/>
    </xf>
    <xf numFmtId="191" fontId="5" fillId="0" borderId="8" xfId="0" quotePrefix="1" applyNumberFormat="1" applyFont="1" applyBorder="1" applyAlignment="1">
      <alignment vertical="center" shrinkToFit="1"/>
    </xf>
    <xf numFmtId="0" fontId="5" fillId="0" borderId="8" xfId="0" quotePrefix="1" applyFont="1" applyBorder="1" applyAlignment="1">
      <alignment vertical="center"/>
    </xf>
    <xf numFmtId="194" fontId="5" fillId="0" borderId="5" xfId="1" applyNumberFormat="1" applyFont="1" applyBorder="1" applyAlignment="1">
      <alignment vertical="center"/>
    </xf>
    <xf numFmtId="189" fontId="5" fillId="0" borderId="0" xfId="0" quotePrefix="1" applyNumberFormat="1" applyFont="1" applyBorder="1">
      <alignment vertical="center"/>
    </xf>
    <xf numFmtId="1" fontId="5" fillId="0" borderId="0" xfId="0" applyNumberFormat="1" applyFont="1" applyBorder="1">
      <alignment vertical="center"/>
    </xf>
    <xf numFmtId="189" fontId="5" fillId="0" borderId="0" xfId="0" quotePrefix="1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84" fontId="5" fillId="2" borderId="3" xfId="0" applyNumberFormat="1" applyFont="1" applyFill="1" applyBorder="1" applyAlignment="1">
      <alignment vertical="center" wrapText="1"/>
    </xf>
    <xf numFmtId="183" fontId="5" fillId="2" borderId="3" xfId="0" applyNumberFormat="1" applyFont="1" applyFill="1" applyBorder="1" applyAlignment="1">
      <alignment vertical="center" wrapText="1"/>
    </xf>
    <xf numFmtId="0" fontId="5" fillId="0" borderId="6" xfId="0" quotePrefix="1" applyFont="1" applyBorder="1" applyAlignment="1">
      <alignment vertical="center"/>
    </xf>
    <xf numFmtId="185" fontId="5" fillId="2" borderId="3" xfId="0" applyNumberFormat="1" applyFont="1" applyFill="1" applyBorder="1" applyAlignment="1">
      <alignment vertical="center" wrapText="1"/>
    </xf>
    <xf numFmtId="0" fontId="5" fillId="0" borderId="6" xfId="0" quotePrefix="1" applyFont="1" applyBorder="1" applyAlignment="1">
      <alignment horizontal="left" vertical="center"/>
    </xf>
    <xf numFmtId="182" fontId="5" fillId="0" borderId="5" xfId="0" quotePrefix="1" applyNumberFormat="1" applyFont="1" applyBorder="1">
      <alignment vertical="center"/>
    </xf>
    <xf numFmtId="179" fontId="5" fillId="0" borderId="0" xfId="0" quotePrefix="1" applyNumberFormat="1" applyFont="1" applyBorder="1">
      <alignment vertical="center"/>
    </xf>
    <xf numFmtId="0" fontId="5" fillId="0" borderId="10" xfId="0" quotePrefix="1" applyFont="1" applyBorder="1" applyAlignment="1">
      <alignment vertical="center"/>
    </xf>
    <xf numFmtId="0" fontId="9" fillId="0" borderId="10" xfId="0" quotePrefix="1" applyFont="1" applyBorder="1" applyAlignment="1">
      <alignment vertical="center"/>
    </xf>
    <xf numFmtId="0" fontId="9" fillId="0" borderId="11" xfId="0" quotePrefix="1" applyFont="1" applyBorder="1" applyAlignment="1">
      <alignment vertical="center"/>
    </xf>
    <xf numFmtId="188" fontId="5" fillId="5" borderId="4" xfId="0" applyNumberFormat="1" applyFont="1" applyFill="1" applyBorder="1" applyAlignment="1">
      <alignment vertical="center" wrapText="1"/>
    </xf>
    <xf numFmtId="195" fontId="5" fillId="5" borderId="4" xfId="0" applyNumberFormat="1" applyFont="1" applyFill="1" applyBorder="1" applyAlignment="1">
      <alignment vertical="center"/>
    </xf>
    <xf numFmtId="184" fontId="5" fillId="0" borderId="3" xfId="0" quotePrefix="1" applyNumberFormat="1" applyFont="1" applyBorder="1" applyAlignment="1">
      <alignment vertical="center" wrapText="1"/>
    </xf>
    <xf numFmtId="195" fontId="5" fillId="6" borderId="3" xfId="0" applyNumberFormat="1" applyFont="1" applyFill="1" applyBorder="1" applyAlignment="1">
      <alignment vertical="center"/>
    </xf>
    <xf numFmtId="191" fontId="5" fillId="0" borderId="0" xfId="0" quotePrefix="1" applyNumberFormat="1" applyFont="1" applyBorder="1" applyAlignment="1">
      <alignment vertical="center"/>
    </xf>
    <xf numFmtId="188" fontId="5" fillId="0" borderId="0" xfId="0" quotePrefix="1" applyNumberFormat="1" applyFont="1" applyBorder="1">
      <alignment vertical="center"/>
    </xf>
    <xf numFmtId="195" fontId="5" fillId="0" borderId="3" xfId="0" applyNumberFormat="1" applyFont="1" applyBorder="1" applyAlignment="1">
      <alignment vertical="center"/>
    </xf>
    <xf numFmtId="195" fontId="5" fillId="0" borderId="0" xfId="0" quotePrefix="1" applyNumberFormat="1" applyFont="1" applyBorder="1" applyAlignment="1">
      <alignment horizontal="left" vertical="center"/>
    </xf>
    <xf numFmtId="179" fontId="10" fillId="2" borderId="3" xfId="0" applyNumberFormat="1" applyFont="1" applyFill="1" applyBorder="1" applyAlignment="1">
      <alignment vertical="center" wrapText="1"/>
    </xf>
    <xf numFmtId="2" fontId="5" fillId="0" borderId="0" xfId="0" quotePrefix="1" applyNumberFormat="1" applyFont="1" applyBorder="1">
      <alignment vertical="center"/>
    </xf>
    <xf numFmtId="184" fontId="10" fillId="2" borderId="3" xfId="0" applyNumberFormat="1" applyFont="1" applyFill="1" applyBorder="1" applyAlignment="1">
      <alignment vertical="center" wrapText="1"/>
    </xf>
    <xf numFmtId="188" fontId="10" fillId="2" borderId="3" xfId="0" applyNumberFormat="1" applyFont="1" applyFill="1" applyBorder="1" applyAlignment="1">
      <alignment vertical="center" wrapText="1"/>
    </xf>
    <xf numFmtId="194" fontId="5" fillId="5" borderId="7" xfId="1" applyNumberFormat="1" applyFont="1" applyFill="1" applyBorder="1" applyAlignment="1">
      <alignment vertical="center"/>
    </xf>
    <xf numFmtId="179" fontId="10" fillId="5" borderId="4" xfId="0" applyNumberFormat="1" applyFont="1" applyFill="1" applyBorder="1" applyAlignment="1">
      <alignment vertical="center" wrapText="1"/>
    </xf>
    <xf numFmtId="189" fontId="5" fillId="5" borderId="4" xfId="0" applyNumberFormat="1" applyFont="1" applyFill="1" applyBorder="1" applyAlignment="1">
      <alignment vertical="center"/>
    </xf>
    <xf numFmtId="191" fontId="5" fillId="0" borderId="8" xfId="0" quotePrefix="1" applyNumberFormat="1" applyFont="1" applyBorder="1" applyAlignment="1">
      <alignment vertical="center"/>
    </xf>
    <xf numFmtId="179" fontId="10" fillId="6" borderId="3" xfId="0" applyNumberFormat="1" applyFont="1" applyFill="1" applyBorder="1" applyAlignment="1">
      <alignment vertical="center" wrapText="1"/>
    </xf>
    <xf numFmtId="189" fontId="5" fillId="6" borderId="3" xfId="0" applyNumberFormat="1" applyFont="1" applyFill="1" applyBorder="1" applyAlignment="1">
      <alignment vertical="center"/>
    </xf>
    <xf numFmtId="0" fontId="10" fillId="2" borderId="3" xfId="0" applyFont="1" applyFill="1" applyBorder="1">
      <alignment vertical="center"/>
    </xf>
    <xf numFmtId="189" fontId="5" fillId="0" borderId="0" xfId="0" quotePrefix="1" applyNumberFormat="1" applyFont="1" applyBorder="1" applyAlignment="1">
      <alignment vertical="center" shrinkToFit="1"/>
    </xf>
    <xf numFmtId="2" fontId="5" fillId="0" borderId="0" xfId="0" quotePrefix="1" applyNumberFormat="1" applyFont="1" applyBorder="1" applyAlignment="1">
      <alignment vertical="center"/>
    </xf>
    <xf numFmtId="189" fontId="5" fillId="0" borderId="3" xfId="0" applyNumberFormat="1" applyFont="1" applyBorder="1" applyAlignment="1">
      <alignment vertical="center"/>
    </xf>
    <xf numFmtId="196" fontId="5" fillId="0" borderId="0" xfId="0" quotePrefix="1" applyNumberFormat="1" applyFont="1" applyBorder="1" applyAlignment="1">
      <alignment horizontal="center" vertical="center"/>
    </xf>
    <xf numFmtId="196" fontId="5" fillId="0" borderId="0" xfId="0" quotePrefix="1" applyNumberFormat="1" applyFont="1" applyBorder="1" applyAlignment="1">
      <alignment vertical="center" shrinkToFit="1"/>
    </xf>
    <xf numFmtId="192" fontId="10" fillId="2" borderId="3" xfId="0" applyNumberFormat="1" applyFont="1" applyFill="1" applyBorder="1" applyAlignment="1">
      <alignment vertical="center" wrapText="1"/>
    </xf>
    <xf numFmtId="179" fontId="10" fillId="0" borderId="3" xfId="0" applyNumberFormat="1" applyFont="1" applyBorder="1" applyAlignment="1">
      <alignment vertical="center" wrapText="1"/>
    </xf>
    <xf numFmtId="2" fontId="5" fillId="0" borderId="0" xfId="0" applyNumberFormat="1" applyFont="1">
      <alignment vertical="center"/>
    </xf>
    <xf numFmtId="182" fontId="5" fillId="0" borderId="0" xfId="0" quotePrefix="1" applyNumberFormat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 shrinkToFit="1"/>
    </xf>
    <xf numFmtId="191" fontId="5" fillId="0" borderId="0" xfId="0" quotePrefix="1" applyNumberFormat="1" applyFont="1" applyAlignment="1">
      <alignment vertical="center" shrinkToFit="1"/>
    </xf>
    <xf numFmtId="0" fontId="5" fillId="0" borderId="0" xfId="0" quotePrefix="1" applyFont="1" applyAlignment="1">
      <alignment vertical="center"/>
    </xf>
    <xf numFmtId="41" fontId="5" fillId="0" borderId="3" xfId="1" applyFont="1" applyBorder="1">
      <alignment vertical="center"/>
    </xf>
    <xf numFmtId="189" fontId="5" fillId="0" borderId="0" xfId="0" quotePrefix="1" applyNumberFormat="1" applyFont="1" applyAlignment="1">
      <alignment vertical="center" shrinkToFit="1"/>
    </xf>
    <xf numFmtId="41" fontId="5" fillId="0" borderId="3" xfId="1" applyFont="1" applyBorder="1" applyAlignment="1">
      <alignment vertical="center" wrapText="1"/>
    </xf>
    <xf numFmtId="0" fontId="5" fillId="0" borderId="3" xfId="0" quotePrefix="1" applyFont="1" applyBorder="1" applyAlignment="1">
      <alignment horizontal="left" vertical="center"/>
    </xf>
    <xf numFmtId="41" fontId="5" fillId="0" borderId="2" xfId="1" applyFont="1" applyBorder="1" applyAlignment="1">
      <alignment vertical="center" wrapText="1"/>
    </xf>
    <xf numFmtId="179" fontId="5" fillId="0" borderId="2" xfId="0" applyNumberFormat="1" applyFont="1" applyBorder="1" applyAlignment="1">
      <alignment vertical="center" wrapText="1"/>
    </xf>
    <xf numFmtId="0" fontId="5" fillId="0" borderId="12" xfId="0" quotePrefix="1" applyFont="1" applyBorder="1">
      <alignment vertical="center"/>
    </xf>
    <xf numFmtId="0" fontId="5" fillId="0" borderId="10" xfId="0" quotePrefix="1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4" fillId="0" borderId="2" xfId="0" quotePrefix="1" applyFont="1" applyBorder="1">
      <alignment vertical="center"/>
    </xf>
    <xf numFmtId="177" fontId="5" fillId="2" borderId="1" xfId="0" applyNumberFormat="1" applyFont="1" applyFill="1" applyBorder="1" applyAlignment="1">
      <alignment vertical="center" wrapText="1"/>
    </xf>
    <xf numFmtId="0" fontId="13" fillId="0" borderId="0" xfId="2"/>
    <xf numFmtId="0" fontId="14" fillId="0" borderId="0" xfId="2" applyFont="1"/>
    <xf numFmtId="0" fontId="15" fillId="0" borderId="0" xfId="3"/>
    <xf numFmtId="0" fontId="19" fillId="0" borderId="0" xfId="5" applyFont="1"/>
    <xf numFmtId="0" fontId="22" fillId="0" borderId="0" xfId="4" applyFont="1" applyAlignment="1">
      <alignment horizontal="right" vertical="center"/>
    </xf>
    <xf numFmtId="0" fontId="23" fillId="0" borderId="0" xfId="4" applyFont="1" applyAlignment="1">
      <alignment horizontal="left" vertical="center"/>
    </xf>
    <xf numFmtId="0" fontId="24" fillId="7" borderId="21" xfId="4" applyFont="1" applyFill="1" applyBorder="1" applyAlignment="1">
      <alignment horizontal="center" vertical="center"/>
    </xf>
    <xf numFmtId="0" fontId="24" fillId="7" borderId="22" xfId="2" applyFont="1" applyFill="1" applyBorder="1" applyAlignment="1">
      <alignment horizontal="center" vertical="center"/>
    </xf>
    <xf numFmtId="198" fontId="24" fillId="8" borderId="4" xfId="6" applyNumberFormat="1" applyFont="1" applyFill="1" applyBorder="1" applyAlignment="1">
      <alignment horizontal="right" vertical="center" shrinkToFit="1"/>
    </xf>
    <xf numFmtId="198" fontId="24" fillId="8" borderId="4" xfId="6" applyNumberFormat="1" applyFont="1" applyFill="1" applyBorder="1" applyAlignment="1">
      <alignment vertical="center" shrinkToFit="1"/>
    </xf>
    <xf numFmtId="0" fontId="25" fillId="8" borderId="4" xfId="4" applyFont="1" applyFill="1" applyBorder="1" applyAlignment="1">
      <alignment horizontal="center" vertical="center"/>
    </xf>
    <xf numFmtId="0" fontId="25" fillId="8" borderId="8" xfId="4" applyFont="1" applyFill="1" applyBorder="1" applyAlignment="1">
      <alignment horizontal="center" vertical="center"/>
    </xf>
    <xf numFmtId="0" fontId="25" fillId="8" borderId="25" xfId="4" applyFont="1" applyFill="1" applyBorder="1" applyAlignment="1">
      <alignment horizontal="center" vertical="center"/>
    </xf>
    <xf numFmtId="198" fontId="24" fillId="8" borderId="2" xfId="6" applyNumberFormat="1" applyFont="1" applyFill="1" applyBorder="1" applyAlignment="1">
      <alignment horizontal="right" vertical="center" shrinkToFit="1"/>
    </xf>
    <xf numFmtId="0" fontId="25" fillId="8" borderId="12" xfId="4" applyFont="1" applyFill="1" applyBorder="1" applyAlignment="1">
      <alignment horizontal="center" vertical="center"/>
    </xf>
    <xf numFmtId="0" fontId="25" fillId="8" borderId="10" xfId="4" applyFont="1" applyFill="1" applyBorder="1" applyAlignment="1">
      <alignment horizontal="center" vertical="center"/>
    </xf>
    <xf numFmtId="0" fontId="25" fillId="0" borderId="27" xfId="2" applyFont="1" applyBorder="1"/>
    <xf numFmtId="0" fontId="26" fillId="0" borderId="1" xfId="4" applyFont="1" applyBorder="1" applyAlignment="1">
      <alignment vertical="center"/>
    </xf>
    <xf numFmtId="198" fontId="25" fillId="0" borderId="1" xfId="6" applyNumberFormat="1" applyFont="1" applyBorder="1" applyAlignment="1">
      <alignment vertical="center" shrinkToFit="1"/>
    </xf>
    <xf numFmtId="198" fontId="25" fillId="0" borderId="1" xfId="4" applyNumberFormat="1" applyFont="1" applyBorder="1" applyAlignment="1">
      <alignment vertical="center" shrinkToFit="1"/>
    </xf>
    <xf numFmtId="0" fontId="26" fillId="0" borderId="1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198" fontId="26" fillId="0" borderId="1" xfId="4" applyNumberFormat="1" applyFont="1" applyBorder="1" applyAlignment="1">
      <alignment vertical="center" shrinkToFit="1"/>
    </xf>
    <xf numFmtId="195" fontId="26" fillId="0" borderId="1" xfId="4" applyNumberFormat="1" applyFont="1" applyBorder="1" applyAlignment="1">
      <alignment horizontal="center" vertical="center"/>
    </xf>
    <xf numFmtId="195" fontId="26" fillId="0" borderId="25" xfId="4" applyNumberFormat="1" applyFont="1" applyBorder="1" applyAlignment="1">
      <alignment horizontal="center" vertical="center"/>
    </xf>
    <xf numFmtId="0" fontId="25" fillId="0" borderId="1" xfId="4" applyFont="1" applyBorder="1" applyAlignment="1">
      <alignment vertical="center"/>
    </xf>
    <xf numFmtId="0" fontId="25" fillId="0" borderId="2" xfId="4" applyFont="1" applyBorder="1" applyAlignment="1">
      <alignment vertical="center"/>
    </xf>
    <xf numFmtId="198" fontId="27" fillId="9" borderId="1" xfId="4" applyNumberFormat="1" applyFont="1" applyFill="1" applyBorder="1" applyAlignment="1">
      <alignment vertical="center" shrinkToFit="1"/>
    </xf>
    <xf numFmtId="195" fontId="27" fillId="9" borderId="13" xfId="4" applyNumberFormat="1" applyFont="1" applyFill="1" applyBorder="1" applyAlignment="1">
      <alignment horizontal="center" vertical="center"/>
    </xf>
    <xf numFmtId="195" fontId="27" fillId="9" borderId="15" xfId="4" applyNumberFormat="1" applyFont="1" applyFill="1" applyBorder="1" applyAlignment="1">
      <alignment horizontal="center" vertical="center"/>
    </xf>
    <xf numFmtId="195" fontId="27" fillId="9" borderId="25" xfId="4" applyNumberFormat="1" applyFont="1" applyFill="1" applyBorder="1" applyAlignment="1">
      <alignment horizontal="center" vertical="center"/>
    </xf>
    <xf numFmtId="198" fontId="27" fillId="10" borderId="2" xfId="4" applyNumberFormat="1" applyFont="1" applyFill="1" applyBorder="1" applyAlignment="1">
      <alignment vertical="center" shrinkToFit="1"/>
    </xf>
    <xf numFmtId="0" fontId="27" fillId="10" borderId="12" xfId="4" applyFont="1" applyFill="1" applyBorder="1" applyAlignment="1">
      <alignment horizontal="center" vertical="center"/>
    </xf>
    <xf numFmtId="10" fontId="27" fillId="10" borderId="11" xfId="4" applyNumberFormat="1" applyFont="1" applyFill="1" applyBorder="1" applyAlignment="1">
      <alignment horizontal="center" vertical="center"/>
    </xf>
    <xf numFmtId="10" fontId="27" fillId="10" borderId="29" xfId="4" applyNumberFormat="1" applyFont="1" applyFill="1" applyBorder="1" applyAlignment="1">
      <alignment horizontal="center" vertical="center"/>
    </xf>
    <xf numFmtId="198" fontId="27" fillId="10" borderId="32" xfId="4" applyNumberFormat="1" applyFont="1" applyFill="1" applyBorder="1" applyAlignment="1">
      <alignment vertical="center" shrinkToFit="1"/>
    </xf>
    <xf numFmtId="0" fontId="27" fillId="10" borderId="32" xfId="4" applyFont="1" applyFill="1" applyBorder="1" applyAlignment="1">
      <alignment horizontal="center" vertical="center"/>
    </xf>
    <xf numFmtId="10" fontId="27" fillId="10" borderId="32" xfId="4" applyNumberFormat="1" applyFont="1" applyFill="1" applyBorder="1" applyAlignment="1">
      <alignment horizontal="center" vertical="center"/>
    </xf>
    <xf numFmtId="10" fontId="27" fillId="10" borderId="33" xfId="4" applyNumberFormat="1" applyFont="1" applyFill="1" applyBorder="1" applyAlignment="1">
      <alignment horizontal="center" vertical="center"/>
    </xf>
    <xf numFmtId="0" fontId="25" fillId="0" borderId="0" xfId="4" applyFont="1" applyAlignment="1">
      <alignment vertical="center"/>
    </xf>
    <xf numFmtId="0" fontId="25" fillId="0" borderId="0" xfId="4" applyFont="1" applyAlignment="1">
      <alignment horizontal="left" vertical="center"/>
    </xf>
    <xf numFmtId="0" fontId="25" fillId="0" borderId="0" xfId="4" applyFont="1" applyAlignment="1">
      <alignment vertical="center" wrapText="1" shrinkToFit="1"/>
    </xf>
    <xf numFmtId="0" fontId="25" fillId="0" borderId="34" xfId="4" applyFont="1" applyBorder="1" applyAlignment="1">
      <alignment vertical="center" wrapText="1" shrinkToFit="1"/>
    </xf>
    <xf numFmtId="0" fontId="24" fillId="7" borderId="37" xfId="4" applyFont="1" applyFill="1" applyBorder="1" applyAlignment="1">
      <alignment horizontal="left" vertical="center"/>
    </xf>
    <xf numFmtId="0" fontId="26" fillId="0" borderId="27" xfId="4" applyFont="1" applyBorder="1" applyAlignment="1">
      <alignment vertical="center"/>
    </xf>
    <xf numFmtId="0" fontId="26" fillId="0" borderId="0" xfId="4" applyFont="1" applyAlignment="1">
      <alignment vertical="center"/>
    </xf>
    <xf numFmtId="0" fontId="26" fillId="0" borderId="38" xfId="4" applyFont="1" applyBorder="1" applyAlignment="1">
      <alignment vertical="center"/>
    </xf>
    <xf numFmtId="0" fontId="25" fillId="0" borderId="39" xfId="2" applyFont="1" applyBorder="1" applyAlignment="1">
      <alignment vertical="center"/>
    </xf>
    <xf numFmtId="0" fontId="25" fillId="0" borderId="40" xfId="2" applyFont="1" applyBorder="1" applyAlignment="1">
      <alignment vertical="center"/>
    </xf>
    <xf numFmtId="0" fontId="25" fillId="0" borderId="40" xfId="4" applyFont="1" applyBorder="1" applyAlignment="1">
      <alignment vertical="center"/>
    </xf>
    <xf numFmtId="0" fontId="25" fillId="0" borderId="34" xfId="4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vertical="center" wrapText="1"/>
    </xf>
    <xf numFmtId="0" fontId="29" fillId="0" borderId="1" xfId="0" quotePrefix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30" fillId="0" borderId="1" xfId="0" quotePrefix="1" applyFont="1" applyBorder="1" applyAlignment="1">
      <alignment vertical="center" wrapText="1"/>
    </xf>
    <xf numFmtId="178" fontId="30" fillId="0" borderId="1" xfId="0" applyNumberFormat="1" applyFont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177" fontId="30" fillId="0" borderId="1" xfId="0" applyNumberFormat="1" applyFont="1" applyBorder="1" applyAlignment="1">
      <alignment vertical="center" wrapText="1"/>
    </xf>
    <xf numFmtId="177" fontId="30" fillId="2" borderId="1" xfId="0" applyNumberFormat="1" applyFont="1" applyFill="1" applyBorder="1" applyAlignment="1">
      <alignment vertical="center" wrapText="1"/>
    </xf>
    <xf numFmtId="181" fontId="30" fillId="0" borderId="1" xfId="0" quotePrefix="1" applyNumberFormat="1" applyFont="1" applyBorder="1" applyAlignment="1">
      <alignment vertical="center" wrapText="1"/>
    </xf>
    <xf numFmtId="181" fontId="30" fillId="0" borderId="1" xfId="0" applyNumberFormat="1" applyFont="1" applyBorder="1" applyAlignment="1">
      <alignment vertical="center" wrapText="1"/>
    </xf>
    <xf numFmtId="0" fontId="16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4" fillId="7" borderId="16" xfId="4" applyFont="1" applyFill="1" applyBorder="1" applyAlignment="1">
      <alignment horizontal="center" vertical="center"/>
    </xf>
    <xf numFmtId="0" fontId="24" fillId="7" borderId="17" xfId="4" applyFont="1" applyFill="1" applyBorder="1" applyAlignment="1">
      <alignment horizontal="center" vertical="center"/>
    </xf>
    <xf numFmtId="0" fontId="24" fillId="7" borderId="20" xfId="4" applyFont="1" applyFill="1" applyBorder="1" applyAlignment="1">
      <alignment horizontal="center" vertical="center"/>
    </xf>
    <xf numFmtId="0" fontId="24" fillId="7" borderId="21" xfId="4" applyFont="1" applyFill="1" applyBorder="1" applyAlignment="1">
      <alignment horizontal="center" vertical="center"/>
    </xf>
    <xf numFmtId="0" fontId="24" fillId="7" borderId="18" xfId="4" applyFont="1" applyFill="1" applyBorder="1" applyAlignment="1">
      <alignment horizontal="center" vertical="center"/>
    </xf>
    <xf numFmtId="0" fontId="24" fillId="7" borderId="19" xfId="4" applyFont="1" applyFill="1" applyBorder="1" applyAlignment="1">
      <alignment horizontal="center" vertical="center"/>
    </xf>
    <xf numFmtId="0" fontId="24" fillId="7" borderId="23" xfId="4" applyFont="1" applyFill="1" applyBorder="1" applyAlignment="1">
      <alignment horizontal="center" vertical="center"/>
    </xf>
    <xf numFmtId="0" fontId="24" fillId="7" borderId="35" xfId="4" applyFont="1" applyFill="1" applyBorder="1" applyAlignment="1">
      <alignment horizontal="left" vertical="center"/>
    </xf>
    <xf numFmtId="0" fontId="24" fillId="7" borderId="36" xfId="4" applyFont="1" applyFill="1" applyBorder="1" applyAlignment="1">
      <alignment horizontal="left" vertical="center"/>
    </xf>
    <xf numFmtId="0" fontId="24" fillId="8" borderId="24" xfId="4" applyFont="1" applyFill="1" applyBorder="1" applyAlignment="1">
      <alignment vertical="center" shrinkToFit="1"/>
    </xf>
    <xf numFmtId="0" fontId="24" fillId="8" borderId="7" xfId="4" applyFont="1" applyFill="1" applyBorder="1" applyAlignment="1">
      <alignment vertical="center" shrinkToFit="1"/>
    </xf>
    <xf numFmtId="0" fontId="24" fillId="8" borderId="26" xfId="4" applyFont="1" applyFill="1" applyBorder="1" applyAlignment="1">
      <alignment vertical="center" shrinkToFit="1"/>
    </xf>
    <xf numFmtId="0" fontId="24" fillId="8" borderId="13" xfId="4" applyFont="1" applyFill="1" applyBorder="1" applyAlignment="1">
      <alignment vertical="center" shrinkToFit="1"/>
    </xf>
    <xf numFmtId="0" fontId="24" fillId="9" borderId="26" xfId="4" applyFont="1" applyFill="1" applyBorder="1" applyAlignment="1">
      <alignment vertical="center" shrinkToFit="1"/>
    </xf>
    <xf numFmtId="0" fontId="24" fillId="9" borderId="13" xfId="4" applyFont="1" applyFill="1" applyBorder="1" applyAlignment="1">
      <alignment vertical="center" shrinkToFit="1"/>
    </xf>
    <xf numFmtId="0" fontId="24" fillId="10" borderId="28" xfId="2" applyFont="1" applyFill="1" applyBorder="1" applyAlignment="1">
      <alignment vertical="center"/>
    </xf>
    <xf numFmtId="0" fontId="24" fillId="10" borderId="12" xfId="2" applyFont="1" applyFill="1" applyBorder="1" applyAlignment="1">
      <alignment vertical="center"/>
    </xf>
    <xf numFmtId="0" fontId="24" fillId="10" borderId="30" xfId="2" applyFont="1" applyFill="1" applyBorder="1" applyAlignment="1">
      <alignment horizontal="left" vertical="center"/>
    </xf>
    <xf numFmtId="0" fontId="24" fillId="10" borderId="31" xfId="2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0" fontId="5" fillId="0" borderId="6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left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5" fillId="0" borderId="6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90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189" fontId="5" fillId="0" borderId="0" xfId="0" applyNumberFormat="1" applyFont="1" applyBorder="1" applyAlignment="1">
      <alignment horizontal="center" vertical="center"/>
    </xf>
    <xf numFmtId="191" fontId="5" fillId="0" borderId="0" xfId="0" quotePrefix="1" applyNumberFormat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182" fontId="5" fillId="0" borderId="0" xfId="0" quotePrefix="1" applyNumberFormat="1" applyFont="1" applyBorder="1" applyAlignment="1">
      <alignment horizontal="center" vertical="center"/>
    </xf>
    <xf numFmtId="189" fontId="5" fillId="0" borderId="0" xfId="0" quotePrefix="1" applyNumberFormat="1" applyFont="1" applyBorder="1" applyAlignment="1">
      <alignment horizontal="center" vertical="center"/>
    </xf>
    <xf numFmtId="191" fontId="5" fillId="0" borderId="0" xfId="0" quotePrefix="1" applyNumberFormat="1" applyFont="1" applyBorder="1" applyAlignment="1">
      <alignment horizontal="center" vertical="center"/>
    </xf>
    <xf numFmtId="191" fontId="5" fillId="0" borderId="0" xfId="0" applyNumberFormat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191" fontId="5" fillId="0" borderId="8" xfId="0" quotePrefix="1" applyNumberFormat="1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187" fontId="5" fillId="0" borderId="0" xfId="0" quotePrefix="1" applyNumberFormat="1" applyFont="1" applyBorder="1" applyAlignment="1">
      <alignment horizontal="center" vertical="center" shrinkToFit="1"/>
    </xf>
  </cellXfs>
  <cellStyles count="7">
    <cellStyle name="쉼표 [0]" xfId="1" builtinId="6"/>
    <cellStyle name="쉼표 [0]_조사금액작성보고서(동읍-한림)" xfId="6" xr:uid="{B1CBC323-3027-4184-AF7B-3B90B6776C65}"/>
    <cellStyle name="표준" xfId="0" builtinId="0"/>
    <cellStyle name="표준 2" xfId="3" xr:uid="{9354367F-743A-49E8-A4AA-379EEC9DA7DA}"/>
    <cellStyle name="표준 2 3 2 2" xfId="2" xr:uid="{86285BE2-8E02-4856-8A67-1D233900461F}"/>
    <cellStyle name="표준 6 2 2 6" xfId="5" xr:uid="{46E7C5B9-0E42-497D-83C4-3203C5BDC0E7}"/>
    <cellStyle name="표준_조사금액작성보고서(동읍-한림)" xfId="4" xr:uid="{F14AA866-7F18-46BD-A37B-717DAEDC1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8718-50C6-453E-9F9A-F5A8740A2C15}">
  <dimension ref="A1:H28"/>
  <sheetViews>
    <sheetView tabSelected="1" zoomScale="55" zoomScaleNormal="55" workbookViewId="0">
      <selection activeCell="B2" sqref="B2:H2"/>
    </sheetView>
  </sheetViews>
  <sheetFormatPr defaultRowHeight="12.75"/>
  <cols>
    <col min="1" max="1" width="0.125" style="196" customWidth="1"/>
    <col min="2" max="2" width="40.875" style="196" customWidth="1"/>
    <col min="3" max="5" width="20.75" style="196" customWidth="1"/>
    <col min="6" max="8" width="13.75" style="196" customWidth="1"/>
    <col min="9" max="256" width="9" style="196"/>
    <col min="257" max="257" width="0.125" style="196" customWidth="1"/>
    <col min="258" max="258" width="40.875" style="196" customWidth="1"/>
    <col min="259" max="261" width="20.75" style="196" customWidth="1"/>
    <col min="262" max="264" width="13.75" style="196" customWidth="1"/>
    <col min="265" max="512" width="9" style="196"/>
    <col min="513" max="513" width="0.125" style="196" customWidth="1"/>
    <col min="514" max="514" width="40.875" style="196" customWidth="1"/>
    <col min="515" max="517" width="20.75" style="196" customWidth="1"/>
    <col min="518" max="520" width="13.75" style="196" customWidth="1"/>
    <col min="521" max="768" width="9" style="196"/>
    <col min="769" max="769" width="0.125" style="196" customWidth="1"/>
    <col min="770" max="770" width="40.875" style="196" customWidth="1"/>
    <col min="771" max="773" width="20.75" style="196" customWidth="1"/>
    <col min="774" max="776" width="13.75" style="196" customWidth="1"/>
    <col min="777" max="1024" width="9" style="196"/>
    <col min="1025" max="1025" width="0.125" style="196" customWidth="1"/>
    <col min="1026" max="1026" width="40.875" style="196" customWidth="1"/>
    <col min="1027" max="1029" width="20.75" style="196" customWidth="1"/>
    <col min="1030" max="1032" width="13.75" style="196" customWidth="1"/>
    <col min="1033" max="1280" width="9" style="196"/>
    <col min="1281" max="1281" width="0.125" style="196" customWidth="1"/>
    <col min="1282" max="1282" width="40.875" style="196" customWidth="1"/>
    <col min="1283" max="1285" width="20.75" style="196" customWidth="1"/>
    <col min="1286" max="1288" width="13.75" style="196" customWidth="1"/>
    <col min="1289" max="1536" width="9" style="196"/>
    <col min="1537" max="1537" width="0.125" style="196" customWidth="1"/>
    <col min="1538" max="1538" width="40.875" style="196" customWidth="1"/>
    <col min="1539" max="1541" width="20.75" style="196" customWidth="1"/>
    <col min="1542" max="1544" width="13.75" style="196" customWidth="1"/>
    <col min="1545" max="1792" width="9" style="196"/>
    <col min="1793" max="1793" width="0.125" style="196" customWidth="1"/>
    <col min="1794" max="1794" width="40.875" style="196" customWidth="1"/>
    <col min="1795" max="1797" width="20.75" style="196" customWidth="1"/>
    <col min="1798" max="1800" width="13.75" style="196" customWidth="1"/>
    <col min="1801" max="2048" width="9" style="196"/>
    <col min="2049" max="2049" width="0.125" style="196" customWidth="1"/>
    <col min="2050" max="2050" width="40.875" style="196" customWidth="1"/>
    <col min="2051" max="2053" width="20.75" style="196" customWidth="1"/>
    <col min="2054" max="2056" width="13.75" style="196" customWidth="1"/>
    <col min="2057" max="2304" width="9" style="196"/>
    <col min="2305" max="2305" width="0.125" style="196" customWidth="1"/>
    <col min="2306" max="2306" width="40.875" style="196" customWidth="1"/>
    <col min="2307" max="2309" width="20.75" style="196" customWidth="1"/>
    <col min="2310" max="2312" width="13.75" style="196" customWidth="1"/>
    <col min="2313" max="2560" width="9" style="196"/>
    <col min="2561" max="2561" width="0.125" style="196" customWidth="1"/>
    <col min="2562" max="2562" width="40.875" style="196" customWidth="1"/>
    <col min="2563" max="2565" width="20.75" style="196" customWidth="1"/>
    <col min="2566" max="2568" width="13.75" style="196" customWidth="1"/>
    <col min="2569" max="2816" width="9" style="196"/>
    <col min="2817" max="2817" width="0.125" style="196" customWidth="1"/>
    <col min="2818" max="2818" width="40.875" style="196" customWidth="1"/>
    <col min="2819" max="2821" width="20.75" style="196" customWidth="1"/>
    <col min="2822" max="2824" width="13.75" style="196" customWidth="1"/>
    <col min="2825" max="3072" width="9" style="196"/>
    <col min="3073" max="3073" width="0.125" style="196" customWidth="1"/>
    <col min="3074" max="3074" width="40.875" style="196" customWidth="1"/>
    <col min="3075" max="3077" width="20.75" style="196" customWidth="1"/>
    <col min="3078" max="3080" width="13.75" style="196" customWidth="1"/>
    <col min="3081" max="3328" width="9" style="196"/>
    <col min="3329" max="3329" width="0.125" style="196" customWidth="1"/>
    <col min="3330" max="3330" width="40.875" style="196" customWidth="1"/>
    <col min="3331" max="3333" width="20.75" style="196" customWidth="1"/>
    <col min="3334" max="3336" width="13.75" style="196" customWidth="1"/>
    <col min="3337" max="3584" width="9" style="196"/>
    <col min="3585" max="3585" width="0.125" style="196" customWidth="1"/>
    <col min="3586" max="3586" width="40.875" style="196" customWidth="1"/>
    <col min="3587" max="3589" width="20.75" style="196" customWidth="1"/>
    <col min="3590" max="3592" width="13.75" style="196" customWidth="1"/>
    <col min="3593" max="3840" width="9" style="196"/>
    <col min="3841" max="3841" width="0.125" style="196" customWidth="1"/>
    <col min="3842" max="3842" width="40.875" style="196" customWidth="1"/>
    <col min="3843" max="3845" width="20.75" style="196" customWidth="1"/>
    <col min="3846" max="3848" width="13.75" style="196" customWidth="1"/>
    <col min="3849" max="4096" width="9" style="196"/>
    <col min="4097" max="4097" width="0.125" style="196" customWidth="1"/>
    <col min="4098" max="4098" width="40.875" style="196" customWidth="1"/>
    <col min="4099" max="4101" width="20.75" style="196" customWidth="1"/>
    <col min="4102" max="4104" width="13.75" style="196" customWidth="1"/>
    <col min="4105" max="4352" width="9" style="196"/>
    <col min="4353" max="4353" width="0.125" style="196" customWidth="1"/>
    <col min="4354" max="4354" width="40.875" style="196" customWidth="1"/>
    <col min="4355" max="4357" width="20.75" style="196" customWidth="1"/>
    <col min="4358" max="4360" width="13.75" style="196" customWidth="1"/>
    <col min="4361" max="4608" width="9" style="196"/>
    <col min="4609" max="4609" width="0.125" style="196" customWidth="1"/>
    <col min="4610" max="4610" width="40.875" style="196" customWidth="1"/>
    <col min="4611" max="4613" width="20.75" style="196" customWidth="1"/>
    <col min="4614" max="4616" width="13.75" style="196" customWidth="1"/>
    <col min="4617" max="4864" width="9" style="196"/>
    <col min="4865" max="4865" width="0.125" style="196" customWidth="1"/>
    <col min="4866" max="4866" width="40.875" style="196" customWidth="1"/>
    <col min="4867" max="4869" width="20.75" style="196" customWidth="1"/>
    <col min="4870" max="4872" width="13.75" style="196" customWidth="1"/>
    <col min="4873" max="5120" width="9" style="196"/>
    <col min="5121" max="5121" width="0.125" style="196" customWidth="1"/>
    <col min="5122" max="5122" width="40.875" style="196" customWidth="1"/>
    <col min="5123" max="5125" width="20.75" style="196" customWidth="1"/>
    <col min="5126" max="5128" width="13.75" style="196" customWidth="1"/>
    <col min="5129" max="5376" width="9" style="196"/>
    <col min="5377" max="5377" width="0.125" style="196" customWidth="1"/>
    <col min="5378" max="5378" width="40.875" style="196" customWidth="1"/>
    <col min="5379" max="5381" width="20.75" style="196" customWidth="1"/>
    <col min="5382" max="5384" width="13.75" style="196" customWidth="1"/>
    <col min="5385" max="5632" width="9" style="196"/>
    <col min="5633" max="5633" width="0.125" style="196" customWidth="1"/>
    <col min="5634" max="5634" width="40.875" style="196" customWidth="1"/>
    <col min="5635" max="5637" width="20.75" style="196" customWidth="1"/>
    <col min="5638" max="5640" width="13.75" style="196" customWidth="1"/>
    <col min="5641" max="5888" width="9" style="196"/>
    <col min="5889" max="5889" width="0.125" style="196" customWidth="1"/>
    <col min="5890" max="5890" width="40.875" style="196" customWidth="1"/>
    <col min="5891" max="5893" width="20.75" style="196" customWidth="1"/>
    <col min="5894" max="5896" width="13.75" style="196" customWidth="1"/>
    <col min="5897" max="6144" width="9" style="196"/>
    <col min="6145" max="6145" width="0.125" style="196" customWidth="1"/>
    <col min="6146" max="6146" width="40.875" style="196" customWidth="1"/>
    <col min="6147" max="6149" width="20.75" style="196" customWidth="1"/>
    <col min="6150" max="6152" width="13.75" style="196" customWidth="1"/>
    <col min="6153" max="6400" width="9" style="196"/>
    <col min="6401" max="6401" width="0.125" style="196" customWidth="1"/>
    <col min="6402" max="6402" width="40.875" style="196" customWidth="1"/>
    <col min="6403" max="6405" width="20.75" style="196" customWidth="1"/>
    <col min="6406" max="6408" width="13.75" style="196" customWidth="1"/>
    <col min="6409" max="6656" width="9" style="196"/>
    <col min="6657" max="6657" width="0.125" style="196" customWidth="1"/>
    <col min="6658" max="6658" width="40.875" style="196" customWidth="1"/>
    <col min="6659" max="6661" width="20.75" style="196" customWidth="1"/>
    <col min="6662" max="6664" width="13.75" style="196" customWidth="1"/>
    <col min="6665" max="6912" width="9" style="196"/>
    <col min="6913" max="6913" width="0.125" style="196" customWidth="1"/>
    <col min="6914" max="6914" width="40.875" style="196" customWidth="1"/>
    <col min="6915" max="6917" width="20.75" style="196" customWidth="1"/>
    <col min="6918" max="6920" width="13.75" style="196" customWidth="1"/>
    <col min="6921" max="7168" width="9" style="196"/>
    <col min="7169" max="7169" width="0.125" style="196" customWidth="1"/>
    <col min="7170" max="7170" width="40.875" style="196" customWidth="1"/>
    <col min="7171" max="7173" width="20.75" style="196" customWidth="1"/>
    <col min="7174" max="7176" width="13.75" style="196" customWidth="1"/>
    <col min="7177" max="7424" width="9" style="196"/>
    <col min="7425" max="7425" width="0.125" style="196" customWidth="1"/>
    <col min="7426" max="7426" width="40.875" style="196" customWidth="1"/>
    <col min="7427" max="7429" width="20.75" style="196" customWidth="1"/>
    <col min="7430" max="7432" width="13.75" style="196" customWidth="1"/>
    <col min="7433" max="7680" width="9" style="196"/>
    <col min="7681" max="7681" width="0.125" style="196" customWidth="1"/>
    <col min="7682" max="7682" width="40.875" style="196" customWidth="1"/>
    <col min="7683" max="7685" width="20.75" style="196" customWidth="1"/>
    <col min="7686" max="7688" width="13.75" style="196" customWidth="1"/>
    <col min="7689" max="7936" width="9" style="196"/>
    <col min="7937" max="7937" width="0.125" style="196" customWidth="1"/>
    <col min="7938" max="7938" width="40.875" style="196" customWidth="1"/>
    <col min="7939" max="7941" width="20.75" style="196" customWidth="1"/>
    <col min="7942" max="7944" width="13.75" style="196" customWidth="1"/>
    <col min="7945" max="8192" width="9" style="196"/>
    <col min="8193" max="8193" width="0.125" style="196" customWidth="1"/>
    <col min="8194" max="8194" width="40.875" style="196" customWidth="1"/>
    <col min="8195" max="8197" width="20.75" style="196" customWidth="1"/>
    <col min="8198" max="8200" width="13.75" style="196" customWidth="1"/>
    <col min="8201" max="8448" width="9" style="196"/>
    <col min="8449" max="8449" width="0.125" style="196" customWidth="1"/>
    <col min="8450" max="8450" width="40.875" style="196" customWidth="1"/>
    <col min="8451" max="8453" width="20.75" style="196" customWidth="1"/>
    <col min="8454" max="8456" width="13.75" style="196" customWidth="1"/>
    <col min="8457" max="8704" width="9" style="196"/>
    <col min="8705" max="8705" width="0.125" style="196" customWidth="1"/>
    <col min="8706" max="8706" width="40.875" style="196" customWidth="1"/>
    <col min="8707" max="8709" width="20.75" style="196" customWidth="1"/>
    <col min="8710" max="8712" width="13.75" style="196" customWidth="1"/>
    <col min="8713" max="8960" width="9" style="196"/>
    <col min="8961" max="8961" width="0.125" style="196" customWidth="1"/>
    <col min="8962" max="8962" width="40.875" style="196" customWidth="1"/>
    <col min="8963" max="8965" width="20.75" style="196" customWidth="1"/>
    <col min="8966" max="8968" width="13.75" style="196" customWidth="1"/>
    <col min="8969" max="9216" width="9" style="196"/>
    <col min="9217" max="9217" width="0.125" style="196" customWidth="1"/>
    <col min="9218" max="9218" width="40.875" style="196" customWidth="1"/>
    <col min="9219" max="9221" width="20.75" style="196" customWidth="1"/>
    <col min="9222" max="9224" width="13.75" style="196" customWidth="1"/>
    <col min="9225" max="9472" width="9" style="196"/>
    <col min="9473" max="9473" width="0.125" style="196" customWidth="1"/>
    <col min="9474" max="9474" width="40.875" style="196" customWidth="1"/>
    <col min="9475" max="9477" width="20.75" style="196" customWidth="1"/>
    <col min="9478" max="9480" width="13.75" style="196" customWidth="1"/>
    <col min="9481" max="9728" width="9" style="196"/>
    <col min="9729" max="9729" width="0.125" style="196" customWidth="1"/>
    <col min="9730" max="9730" width="40.875" style="196" customWidth="1"/>
    <col min="9731" max="9733" width="20.75" style="196" customWidth="1"/>
    <col min="9734" max="9736" width="13.75" style="196" customWidth="1"/>
    <col min="9737" max="9984" width="9" style="196"/>
    <col min="9985" max="9985" width="0.125" style="196" customWidth="1"/>
    <col min="9986" max="9986" width="40.875" style="196" customWidth="1"/>
    <col min="9987" max="9989" width="20.75" style="196" customWidth="1"/>
    <col min="9990" max="9992" width="13.75" style="196" customWidth="1"/>
    <col min="9993" max="10240" width="9" style="196"/>
    <col min="10241" max="10241" width="0.125" style="196" customWidth="1"/>
    <col min="10242" max="10242" width="40.875" style="196" customWidth="1"/>
    <col min="10243" max="10245" width="20.75" style="196" customWidth="1"/>
    <col min="10246" max="10248" width="13.75" style="196" customWidth="1"/>
    <col min="10249" max="10496" width="9" style="196"/>
    <col min="10497" max="10497" width="0.125" style="196" customWidth="1"/>
    <col min="10498" max="10498" width="40.875" style="196" customWidth="1"/>
    <col min="10499" max="10501" width="20.75" style="196" customWidth="1"/>
    <col min="10502" max="10504" width="13.75" style="196" customWidth="1"/>
    <col min="10505" max="10752" width="9" style="196"/>
    <col min="10753" max="10753" width="0.125" style="196" customWidth="1"/>
    <col min="10754" max="10754" width="40.875" style="196" customWidth="1"/>
    <col min="10755" max="10757" width="20.75" style="196" customWidth="1"/>
    <col min="10758" max="10760" width="13.75" style="196" customWidth="1"/>
    <col min="10761" max="11008" width="9" style="196"/>
    <col min="11009" max="11009" width="0.125" style="196" customWidth="1"/>
    <col min="11010" max="11010" width="40.875" style="196" customWidth="1"/>
    <col min="11011" max="11013" width="20.75" style="196" customWidth="1"/>
    <col min="11014" max="11016" width="13.75" style="196" customWidth="1"/>
    <col min="11017" max="11264" width="9" style="196"/>
    <col min="11265" max="11265" width="0.125" style="196" customWidth="1"/>
    <col min="11266" max="11266" width="40.875" style="196" customWidth="1"/>
    <col min="11267" max="11269" width="20.75" style="196" customWidth="1"/>
    <col min="11270" max="11272" width="13.75" style="196" customWidth="1"/>
    <col min="11273" max="11520" width="9" style="196"/>
    <col min="11521" max="11521" width="0.125" style="196" customWidth="1"/>
    <col min="11522" max="11522" width="40.875" style="196" customWidth="1"/>
    <col min="11523" max="11525" width="20.75" style="196" customWidth="1"/>
    <col min="11526" max="11528" width="13.75" style="196" customWidth="1"/>
    <col min="11529" max="11776" width="9" style="196"/>
    <col min="11777" max="11777" width="0.125" style="196" customWidth="1"/>
    <col min="11778" max="11778" width="40.875" style="196" customWidth="1"/>
    <col min="11779" max="11781" width="20.75" style="196" customWidth="1"/>
    <col min="11782" max="11784" width="13.75" style="196" customWidth="1"/>
    <col min="11785" max="12032" width="9" style="196"/>
    <col min="12033" max="12033" width="0.125" style="196" customWidth="1"/>
    <col min="12034" max="12034" width="40.875" style="196" customWidth="1"/>
    <col min="12035" max="12037" width="20.75" style="196" customWidth="1"/>
    <col min="12038" max="12040" width="13.75" style="196" customWidth="1"/>
    <col min="12041" max="12288" width="9" style="196"/>
    <col min="12289" max="12289" width="0.125" style="196" customWidth="1"/>
    <col min="12290" max="12290" width="40.875" style="196" customWidth="1"/>
    <col min="12291" max="12293" width="20.75" style="196" customWidth="1"/>
    <col min="12294" max="12296" width="13.75" style="196" customWidth="1"/>
    <col min="12297" max="12544" width="9" style="196"/>
    <col min="12545" max="12545" width="0.125" style="196" customWidth="1"/>
    <col min="12546" max="12546" width="40.875" style="196" customWidth="1"/>
    <col min="12547" max="12549" width="20.75" style="196" customWidth="1"/>
    <col min="12550" max="12552" width="13.75" style="196" customWidth="1"/>
    <col min="12553" max="12800" width="9" style="196"/>
    <col min="12801" max="12801" width="0.125" style="196" customWidth="1"/>
    <col min="12802" max="12802" width="40.875" style="196" customWidth="1"/>
    <col min="12803" max="12805" width="20.75" style="196" customWidth="1"/>
    <col min="12806" max="12808" width="13.75" style="196" customWidth="1"/>
    <col min="12809" max="13056" width="9" style="196"/>
    <col min="13057" max="13057" width="0.125" style="196" customWidth="1"/>
    <col min="13058" max="13058" width="40.875" style="196" customWidth="1"/>
    <col min="13059" max="13061" width="20.75" style="196" customWidth="1"/>
    <col min="13062" max="13064" width="13.75" style="196" customWidth="1"/>
    <col min="13065" max="13312" width="9" style="196"/>
    <col min="13313" max="13313" width="0.125" style="196" customWidth="1"/>
    <col min="13314" max="13314" width="40.875" style="196" customWidth="1"/>
    <col min="13315" max="13317" width="20.75" style="196" customWidth="1"/>
    <col min="13318" max="13320" width="13.75" style="196" customWidth="1"/>
    <col min="13321" max="13568" width="9" style="196"/>
    <col min="13569" max="13569" width="0.125" style="196" customWidth="1"/>
    <col min="13570" max="13570" width="40.875" style="196" customWidth="1"/>
    <col min="13571" max="13573" width="20.75" style="196" customWidth="1"/>
    <col min="13574" max="13576" width="13.75" style="196" customWidth="1"/>
    <col min="13577" max="13824" width="9" style="196"/>
    <col min="13825" max="13825" width="0.125" style="196" customWidth="1"/>
    <col min="13826" max="13826" width="40.875" style="196" customWidth="1"/>
    <col min="13827" max="13829" width="20.75" style="196" customWidth="1"/>
    <col min="13830" max="13832" width="13.75" style="196" customWidth="1"/>
    <col min="13833" max="14080" width="9" style="196"/>
    <col min="14081" max="14081" width="0.125" style="196" customWidth="1"/>
    <col min="14082" max="14082" width="40.875" style="196" customWidth="1"/>
    <col min="14083" max="14085" width="20.75" style="196" customWidth="1"/>
    <col min="14086" max="14088" width="13.75" style="196" customWidth="1"/>
    <col min="14089" max="14336" width="9" style="196"/>
    <col min="14337" max="14337" width="0.125" style="196" customWidth="1"/>
    <col min="14338" max="14338" width="40.875" style="196" customWidth="1"/>
    <col min="14339" max="14341" width="20.75" style="196" customWidth="1"/>
    <col min="14342" max="14344" width="13.75" style="196" customWidth="1"/>
    <col min="14345" max="14592" width="9" style="196"/>
    <col min="14593" max="14593" width="0.125" style="196" customWidth="1"/>
    <col min="14594" max="14594" width="40.875" style="196" customWidth="1"/>
    <col min="14595" max="14597" width="20.75" style="196" customWidth="1"/>
    <col min="14598" max="14600" width="13.75" style="196" customWidth="1"/>
    <col min="14601" max="14848" width="9" style="196"/>
    <col min="14849" max="14849" width="0.125" style="196" customWidth="1"/>
    <col min="14850" max="14850" width="40.875" style="196" customWidth="1"/>
    <col min="14851" max="14853" width="20.75" style="196" customWidth="1"/>
    <col min="14854" max="14856" width="13.75" style="196" customWidth="1"/>
    <col min="14857" max="15104" width="9" style="196"/>
    <col min="15105" max="15105" width="0.125" style="196" customWidth="1"/>
    <col min="15106" max="15106" width="40.875" style="196" customWidth="1"/>
    <col min="15107" max="15109" width="20.75" style="196" customWidth="1"/>
    <col min="15110" max="15112" width="13.75" style="196" customWidth="1"/>
    <col min="15113" max="15360" width="9" style="196"/>
    <col min="15361" max="15361" width="0.125" style="196" customWidth="1"/>
    <col min="15362" max="15362" width="40.875" style="196" customWidth="1"/>
    <col min="15363" max="15365" width="20.75" style="196" customWidth="1"/>
    <col min="15366" max="15368" width="13.75" style="196" customWidth="1"/>
    <col min="15369" max="15616" width="9" style="196"/>
    <col min="15617" max="15617" width="0.125" style="196" customWidth="1"/>
    <col min="15618" max="15618" width="40.875" style="196" customWidth="1"/>
    <col min="15619" max="15621" width="20.75" style="196" customWidth="1"/>
    <col min="15622" max="15624" width="13.75" style="196" customWidth="1"/>
    <col min="15625" max="15872" width="9" style="196"/>
    <col min="15873" max="15873" width="0.125" style="196" customWidth="1"/>
    <col min="15874" max="15874" width="40.875" style="196" customWidth="1"/>
    <col min="15875" max="15877" width="20.75" style="196" customWidth="1"/>
    <col min="15878" max="15880" width="13.75" style="196" customWidth="1"/>
    <col min="15881" max="16128" width="9" style="196"/>
    <col min="16129" max="16129" width="0.125" style="196" customWidth="1"/>
    <col min="16130" max="16130" width="40.875" style="196" customWidth="1"/>
    <col min="16131" max="16133" width="20.75" style="196" customWidth="1"/>
    <col min="16134" max="16136" width="13.75" style="196" customWidth="1"/>
    <col min="16137" max="16384" width="9" style="196"/>
  </cols>
  <sheetData>
    <row r="1" spans="1:8" ht="16.5">
      <c r="A1" s="194"/>
      <c r="B1" s="195"/>
      <c r="C1" s="195"/>
      <c r="D1" s="195"/>
      <c r="E1" s="195"/>
      <c r="F1" s="195"/>
      <c r="G1" s="195"/>
      <c r="H1" s="195"/>
    </row>
    <row r="2" spans="1:8" ht="48.75">
      <c r="A2" s="194"/>
      <c r="B2" s="256" t="s">
        <v>809</v>
      </c>
      <c r="C2" s="256"/>
      <c r="D2" s="256"/>
      <c r="E2" s="256"/>
      <c r="F2" s="256"/>
      <c r="G2" s="256"/>
      <c r="H2" s="256"/>
    </row>
    <row r="3" spans="1:8" ht="17.25">
      <c r="A3" s="194"/>
      <c r="B3" s="197"/>
      <c r="C3" s="197"/>
      <c r="D3" s="197"/>
      <c r="E3" s="197"/>
      <c r="F3" s="197"/>
      <c r="G3" s="197"/>
      <c r="H3" s="197"/>
    </row>
    <row r="4" spans="1:8" ht="33.75">
      <c r="A4" s="257" t="s">
        <v>810</v>
      </c>
      <c r="B4" s="257"/>
      <c r="C4" s="257"/>
      <c r="D4" s="257"/>
      <c r="E4" s="257"/>
      <c r="F4" s="257"/>
      <c r="G4" s="198"/>
      <c r="H4" s="198" t="s">
        <v>811</v>
      </c>
    </row>
    <row r="5" spans="1:8" ht="15" customHeight="1" thickBot="1">
      <c r="A5" s="199"/>
      <c r="B5" s="199"/>
      <c r="C5" s="199"/>
      <c r="D5" s="199"/>
      <c r="E5" s="199"/>
      <c r="F5" s="199"/>
      <c r="G5" s="198"/>
      <c r="H5" s="198"/>
    </row>
    <row r="6" spans="1:8" ht="60" customHeight="1">
      <c r="A6" s="258" t="s">
        <v>812</v>
      </c>
      <c r="B6" s="259"/>
      <c r="C6" s="259" t="s">
        <v>813</v>
      </c>
      <c r="D6" s="259" t="s">
        <v>814</v>
      </c>
      <c r="E6" s="259" t="s">
        <v>815</v>
      </c>
      <c r="F6" s="259" t="s">
        <v>816</v>
      </c>
      <c r="G6" s="262"/>
      <c r="H6" s="263" t="s">
        <v>817</v>
      </c>
    </row>
    <row r="7" spans="1:8" ht="60" customHeight="1" thickBot="1">
      <c r="A7" s="260"/>
      <c r="B7" s="261"/>
      <c r="C7" s="261"/>
      <c r="D7" s="261"/>
      <c r="E7" s="261"/>
      <c r="F7" s="200" t="s">
        <v>818</v>
      </c>
      <c r="G7" s="201" t="s">
        <v>819</v>
      </c>
      <c r="H7" s="264"/>
    </row>
    <row r="8" spans="1:8" ht="60" customHeight="1" thickTop="1">
      <c r="A8" s="267" t="s">
        <v>820</v>
      </c>
      <c r="B8" s="268"/>
      <c r="C8" s="202">
        <f>21672715+48442349+307954023</f>
        <v>378069087</v>
      </c>
      <c r="D8" s="202">
        <f>원가계산서!E7+원가계산서!E8+원가계산서!E11</f>
        <v>377870977</v>
      </c>
      <c r="E8" s="203">
        <f>D8-C8</f>
        <v>-198110</v>
      </c>
      <c r="F8" s="204"/>
      <c r="G8" s="205"/>
      <c r="H8" s="206"/>
    </row>
    <row r="9" spans="1:8" ht="60" customHeight="1">
      <c r="A9" s="269" t="s">
        <v>821</v>
      </c>
      <c r="B9" s="270"/>
      <c r="C9" s="207">
        <f xml:space="preserve"> SUM(C10:C20)</f>
        <v>103703641</v>
      </c>
      <c r="D9" s="207">
        <f xml:space="preserve"> SUM(D10:D20)</f>
        <v>104329023</v>
      </c>
      <c r="E9" s="203">
        <f>D9-C9</f>
        <v>625382</v>
      </c>
      <c r="F9" s="208"/>
      <c r="G9" s="209"/>
      <c r="H9" s="206"/>
    </row>
    <row r="10" spans="1:8" ht="60" customHeight="1">
      <c r="A10" s="210"/>
      <c r="B10" s="211" t="s">
        <v>822</v>
      </c>
      <c r="C10" s="212">
        <v>5522427</v>
      </c>
      <c r="D10" s="212">
        <f>원가계산서!E9</f>
        <v>5634906</v>
      </c>
      <c r="E10" s="213">
        <f t="shared" ref="E10:E24" si="0">D10-C10</f>
        <v>112479</v>
      </c>
      <c r="F10" s="214">
        <v>11.4</v>
      </c>
      <c r="G10" s="214">
        <v>11.6</v>
      </c>
      <c r="H10" s="215"/>
    </row>
    <row r="11" spans="1:8" ht="60" customHeight="1">
      <c r="A11" s="210"/>
      <c r="B11" s="211" t="s">
        <v>823</v>
      </c>
      <c r="C11" s="212">
        <v>2012886</v>
      </c>
      <c r="D11" s="212">
        <f>원가계산서!E12</f>
        <v>2022096</v>
      </c>
      <c r="E11" s="213">
        <f t="shared" si="0"/>
        <v>9210</v>
      </c>
      <c r="F11" s="214">
        <v>3.73</v>
      </c>
      <c r="G11" s="214">
        <v>3.73</v>
      </c>
      <c r="H11" s="215"/>
    </row>
    <row r="12" spans="1:8" ht="60" customHeight="1">
      <c r="A12" s="210"/>
      <c r="B12" s="211" t="s">
        <v>824</v>
      </c>
      <c r="C12" s="212">
        <v>469493</v>
      </c>
      <c r="D12" s="212">
        <f>원가계산서!E13</f>
        <v>471641</v>
      </c>
      <c r="E12" s="213">
        <f t="shared" si="0"/>
        <v>2148</v>
      </c>
      <c r="F12" s="214">
        <v>0.87</v>
      </c>
      <c r="G12" s="214">
        <v>0.87</v>
      </c>
      <c r="H12" s="215"/>
    </row>
    <row r="13" spans="1:8" ht="60" customHeight="1">
      <c r="A13" s="210"/>
      <c r="B13" s="211" t="s">
        <v>825</v>
      </c>
      <c r="C13" s="212">
        <v>1615552</v>
      </c>
      <c r="D13" s="212">
        <f>원가계산서!E14</f>
        <v>1620035</v>
      </c>
      <c r="E13" s="216">
        <f t="shared" si="0"/>
        <v>4483</v>
      </c>
      <c r="F13" s="214">
        <v>3.335</v>
      </c>
      <c r="G13" s="214">
        <v>3.335</v>
      </c>
      <c r="H13" s="215"/>
    </row>
    <row r="14" spans="1:8" ht="60" customHeight="1">
      <c r="A14" s="210"/>
      <c r="B14" s="211" t="s">
        <v>826</v>
      </c>
      <c r="C14" s="212">
        <v>2179905</v>
      </c>
      <c r="D14" s="212">
        <f>원가계산서!E15</f>
        <v>2185955</v>
      </c>
      <c r="E14" s="216">
        <f>D14-C14</f>
        <v>6050</v>
      </c>
      <c r="F14" s="214">
        <v>4.5</v>
      </c>
      <c r="G14" s="214">
        <v>4.5</v>
      </c>
      <c r="H14" s="215"/>
    </row>
    <row r="15" spans="1:8" ht="60" customHeight="1">
      <c r="A15" s="210"/>
      <c r="B15" s="211" t="s">
        <v>827</v>
      </c>
      <c r="C15" s="212">
        <v>165594</v>
      </c>
      <c r="D15" s="212">
        <f>원가계산서!E16</f>
        <v>166053</v>
      </c>
      <c r="E15" s="216">
        <f>D15-C15</f>
        <v>459</v>
      </c>
      <c r="F15" s="214">
        <v>10.25</v>
      </c>
      <c r="G15" s="214">
        <v>10.25</v>
      </c>
      <c r="H15" s="215"/>
    </row>
    <row r="16" spans="1:8" ht="60" customHeight="1">
      <c r="A16" s="210"/>
      <c r="B16" s="211" t="s">
        <v>828</v>
      </c>
      <c r="C16" s="212">
        <v>1114174</v>
      </c>
      <c r="D16" s="212">
        <f>원가계산서!E17</f>
        <v>1117266</v>
      </c>
      <c r="E16" s="216">
        <f>D16-C16</f>
        <v>3092</v>
      </c>
      <c r="F16" s="214">
        <v>2.2999999999999998</v>
      </c>
      <c r="G16" s="214">
        <v>2.2999999999999998</v>
      </c>
      <c r="H16" s="215"/>
    </row>
    <row r="17" spans="1:8" ht="60" customHeight="1">
      <c r="A17" s="210"/>
      <c r="B17" s="211" t="s">
        <v>829</v>
      </c>
      <c r="C17" s="212">
        <v>2054371</v>
      </c>
      <c r="D17" s="212">
        <f>원가계산서!E18</f>
        <v>2048415</v>
      </c>
      <c r="E17" s="216">
        <f>D17-C17</f>
        <v>-5956</v>
      </c>
      <c r="F17" s="214">
        <v>2.93</v>
      </c>
      <c r="G17" s="214">
        <v>2.93</v>
      </c>
      <c r="H17" s="215"/>
    </row>
    <row r="18" spans="1:8" ht="60" customHeight="1">
      <c r="A18" s="210"/>
      <c r="B18" s="211" t="s">
        <v>830</v>
      </c>
      <c r="C18" s="212">
        <v>4689524</v>
      </c>
      <c r="D18" s="212">
        <f>원가계산서!E19</f>
        <v>5061628</v>
      </c>
      <c r="E18" s="216">
        <f>D18-C18</f>
        <v>372104</v>
      </c>
      <c r="F18" s="217">
        <v>6.2</v>
      </c>
      <c r="G18" s="217">
        <v>6.7</v>
      </c>
      <c r="H18" s="218"/>
    </row>
    <row r="19" spans="1:8" ht="60" customHeight="1">
      <c r="A19" s="210"/>
      <c r="B19" s="219" t="s">
        <v>831</v>
      </c>
      <c r="C19" s="212">
        <v>23873580</v>
      </c>
      <c r="D19" s="212">
        <f>원가계산서!E22</f>
        <v>23891938</v>
      </c>
      <c r="E19" s="216">
        <f t="shared" si="0"/>
        <v>18358</v>
      </c>
      <c r="F19" s="217">
        <v>6</v>
      </c>
      <c r="G19" s="217">
        <v>6</v>
      </c>
      <c r="H19" s="218"/>
    </row>
    <row r="20" spans="1:8" ht="60" customHeight="1">
      <c r="A20" s="210"/>
      <c r="B20" s="220" t="s">
        <v>832</v>
      </c>
      <c r="C20" s="212">
        <v>60006135</v>
      </c>
      <c r="D20" s="212">
        <f>원가계산서!E23</f>
        <v>60109090</v>
      </c>
      <c r="E20" s="216">
        <f t="shared" si="0"/>
        <v>102955</v>
      </c>
      <c r="F20" s="217">
        <v>15</v>
      </c>
      <c r="G20" s="217">
        <v>15</v>
      </c>
      <c r="H20" s="218"/>
    </row>
    <row r="21" spans="1:8" ht="60" customHeight="1">
      <c r="A21" s="271" t="s">
        <v>833</v>
      </c>
      <c r="B21" s="272"/>
      <c r="C21" s="221">
        <f>SUM(C8,C9)</f>
        <v>481772728</v>
      </c>
      <c r="D21" s="221">
        <f>SUM(D8,D9)</f>
        <v>482200000</v>
      </c>
      <c r="E21" s="221">
        <f t="shared" si="0"/>
        <v>427272</v>
      </c>
      <c r="F21" s="222"/>
      <c r="G21" s="223"/>
      <c r="H21" s="224"/>
    </row>
    <row r="22" spans="1:8" ht="60" customHeight="1">
      <c r="A22" s="271" t="s">
        <v>834</v>
      </c>
      <c r="B22" s="272"/>
      <c r="C22" s="221">
        <f>SUM(C21:C21)*0.1-1</f>
        <v>48177271.800000004</v>
      </c>
      <c r="D22" s="221">
        <f>SUM(D21:D21)*0.1</f>
        <v>48220000</v>
      </c>
      <c r="E22" s="221">
        <f t="shared" si="0"/>
        <v>42728.19999999553</v>
      </c>
      <c r="F22" s="222">
        <v>10</v>
      </c>
      <c r="G22" s="223">
        <f>F22</f>
        <v>10</v>
      </c>
      <c r="H22" s="224"/>
    </row>
    <row r="23" spans="1:8" ht="60" customHeight="1">
      <c r="A23" s="273" t="s">
        <v>835</v>
      </c>
      <c r="B23" s="274"/>
      <c r="C23" s="225">
        <f>SUM(C21:C22)</f>
        <v>529949999.80000001</v>
      </c>
      <c r="D23" s="225">
        <f>SUM(D21:D22)</f>
        <v>530420000</v>
      </c>
      <c r="E23" s="225">
        <f t="shared" si="0"/>
        <v>470000.19999998808</v>
      </c>
      <c r="F23" s="226" t="s">
        <v>836</v>
      </c>
      <c r="G23" s="227">
        <f>E23/C23</f>
        <v>8.8687649811748919E-4</v>
      </c>
      <c r="H23" s="228"/>
    </row>
    <row r="24" spans="1:8" ht="60" customHeight="1" thickBot="1">
      <c r="A24" s="275" t="s">
        <v>837</v>
      </c>
      <c r="B24" s="276"/>
      <c r="C24" s="229">
        <f>C23</f>
        <v>529949999.80000001</v>
      </c>
      <c r="D24" s="229">
        <f>D23</f>
        <v>530420000</v>
      </c>
      <c r="E24" s="229">
        <f t="shared" si="0"/>
        <v>470000.19999998808</v>
      </c>
      <c r="F24" s="230"/>
      <c r="G24" s="231"/>
      <c r="H24" s="232"/>
    </row>
    <row r="25" spans="1:8" ht="34.5" thickBot="1">
      <c r="A25" s="210"/>
      <c r="B25" s="233"/>
      <c r="C25" s="234"/>
      <c r="D25" s="234"/>
      <c r="E25" s="235"/>
      <c r="F25" s="235"/>
      <c r="G25" s="235"/>
      <c r="H25" s="236"/>
    </row>
    <row r="26" spans="1:8" ht="60" customHeight="1">
      <c r="A26" s="265" t="s">
        <v>838</v>
      </c>
      <c r="B26" s="266"/>
      <c r="C26" s="266"/>
      <c r="D26" s="266"/>
      <c r="E26" s="266"/>
      <c r="F26" s="266"/>
      <c r="G26" s="266"/>
      <c r="H26" s="237"/>
    </row>
    <row r="27" spans="1:8" ht="60" customHeight="1">
      <c r="A27" s="238" t="s">
        <v>839</v>
      </c>
      <c r="B27" s="239"/>
      <c r="C27" s="239"/>
      <c r="D27" s="239"/>
      <c r="E27" s="239"/>
      <c r="F27" s="239"/>
      <c r="G27" s="239"/>
      <c r="H27" s="240"/>
    </row>
    <row r="28" spans="1:8" ht="60" customHeight="1" thickBot="1">
      <c r="A28" s="241" t="s">
        <v>840</v>
      </c>
      <c r="B28" s="242"/>
      <c r="C28" s="242"/>
      <c r="D28" s="242"/>
      <c r="E28" s="243"/>
      <c r="F28" s="243"/>
      <c r="G28" s="243"/>
      <c r="H28" s="244"/>
    </row>
  </sheetData>
  <mergeCells count="15">
    <mergeCell ref="A26:G26"/>
    <mergeCell ref="A8:B8"/>
    <mergeCell ref="A9:B9"/>
    <mergeCell ref="A21:B21"/>
    <mergeCell ref="A22:B22"/>
    <mergeCell ref="A23:B23"/>
    <mergeCell ref="A24:B24"/>
    <mergeCell ref="B2:H2"/>
    <mergeCell ref="A4:F4"/>
    <mergeCell ref="A6:B7"/>
    <mergeCell ref="C6:C7"/>
    <mergeCell ref="D6:D7"/>
    <mergeCell ref="E6:E7"/>
    <mergeCell ref="F6:G6"/>
    <mergeCell ref="H6:H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opLeftCell="B1" zoomScale="85" zoomScaleNormal="85" workbookViewId="0">
      <selection activeCell="B1" sqref="B1:G1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>
      <c r="B1" s="277" t="s">
        <v>604</v>
      </c>
      <c r="C1" s="277"/>
      <c r="D1" s="277"/>
      <c r="E1" s="277"/>
      <c r="F1" s="277"/>
      <c r="G1" s="277"/>
    </row>
    <row r="2" spans="1:7" ht="21.95" customHeight="1">
      <c r="B2" s="278" t="s">
        <v>605</v>
      </c>
      <c r="C2" s="278"/>
      <c r="D2" s="278"/>
      <c r="E2" s="278"/>
      <c r="F2" s="279" t="s">
        <v>806</v>
      </c>
      <c r="G2" s="279"/>
    </row>
    <row r="3" spans="1:7" ht="21.95" customHeight="1">
      <c r="B3" s="280" t="s">
        <v>606</v>
      </c>
      <c r="C3" s="280"/>
      <c r="D3" s="280"/>
      <c r="E3" s="23" t="s">
        <v>607</v>
      </c>
      <c r="F3" s="23" t="s">
        <v>608</v>
      </c>
      <c r="G3" s="23" t="s">
        <v>171</v>
      </c>
    </row>
    <row r="4" spans="1:7" ht="21.95" customHeight="1">
      <c r="A4" s="1" t="s">
        <v>613</v>
      </c>
      <c r="B4" s="281" t="s">
        <v>609</v>
      </c>
      <c r="C4" s="281" t="s">
        <v>610</v>
      </c>
      <c r="D4" s="24" t="s">
        <v>614</v>
      </c>
      <c r="E4" s="25">
        <f>TRUNC(내역서!F5, 0)</f>
        <v>21335008</v>
      </c>
      <c r="F4" s="7" t="s">
        <v>52</v>
      </c>
      <c r="G4" s="7" t="s">
        <v>52</v>
      </c>
    </row>
    <row r="5" spans="1:7" ht="21.95" customHeight="1">
      <c r="A5" s="1" t="s">
        <v>615</v>
      </c>
      <c r="B5" s="281"/>
      <c r="C5" s="281"/>
      <c r="D5" s="24" t="s">
        <v>616</v>
      </c>
      <c r="E5" s="25">
        <v>0</v>
      </c>
      <c r="F5" s="7" t="s">
        <v>52</v>
      </c>
      <c r="G5" s="7" t="s">
        <v>52</v>
      </c>
    </row>
    <row r="6" spans="1:7" ht="21.95" customHeight="1">
      <c r="A6" s="1" t="s">
        <v>617</v>
      </c>
      <c r="B6" s="281"/>
      <c r="C6" s="281"/>
      <c r="D6" s="24" t="s">
        <v>618</v>
      </c>
      <c r="E6" s="25">
        <v>0</v>
      </c>
      <c r="F6" s="7" t="s">
        <v>52</v>
      </c>
      <c r="G6" s="7" t="s">
        <v>52</v>
      </c>
    </row>
    <row r="7" spans="1:7" ht="21.95" customHeight="1">
      <c r="A7" s="1" t="s">
        <v>619</v>
      </c>
      <c r="B7" s="281"/>
      <c r="C7" s="281"/>
      <c r="D7" s="24" t="s">
        <v>620</v>
      </c>
      <c r="E7" s="25">
        <f>TRUNC(E4+E5-E6, 0)</f>
        <v>21335008</v>
      </c>
      <c r="F7" s="7" t="s">
        <v>52</v>
      </c>
      <c r="G7" s="7" t="s">
        <v>52</v>
      </c>
    </row>
    <row r="8" spans="1:7" ht="21.95" customHeight="1">
      <c r="A8" s="1" t="s">
        <v>621</v>
      </c>
      <c r="B8" s="281"/>
      <c r="C8" s="281" t="s">
        <v>611</v>
      </c>
      <c r="D8" s="245" t="s">
        <v>622</v>
      </c>
      <c r="E8" s="246">
        <f>TRUNC(내역서!H5, 0)</f>
        <v>48576784</v>
      </c>
      <c r="F8" s="247" t="s">
        <v>52</v>
      </c>
      <c r="G8" s="7" t="s">
        <v>52</v>
      </c>
    </row>
    <row r="9" spans="1:7" ht="21.95" customHeight="1">
      <c r="A9" s="1" t="s">
        <v>623</v>
      </c>
      <c r="B9" s="281"/>
      <c r="C9" s="281"/>
      <c r="D9" s="245" t="s">
        <v>624</v>
      </c>
      <c r="E9" s="246">
        <f>TRUNC(E8*0.116, 0)</f>
        <v>5634906</v>
      </c>
      <c r="F9" s="247" t="s">
        <v>807</v>
      </c>
      <c r="G9" s="247" t="s">
        <v>52</v>
      </c>
    </row>
    <row r="10" spans="1:7" ht="21.95" customHeight="1">
      <c r="A10" s="1" t="s">
        <v>625</v>
      </c>
      <c r="B10" s="281"/>
      <c r="C10" s="281"/>
      <c r="D10" s="24" t="s">
        <v>620</v>
      </c>
      <c r="E10" s="25">
        <f>TRUNC(E8+E9, 0)</f>
        <v>54211690</v>
      </c>
      <c r="F10" s="7" t="s">
        <v>52</v>
      </c>
      <c r="G10" s="7" t="s">
        <v>52</v>
      </c>
    </row>
    <row r="11" spans="1:7" ht="21.95" customHeight="1">
      <c r="A11" s="1" t="s">
        <v>626</v>
      </c>
      <c r="B11" s="281"/>
      <c r="C11" s="281" t="s">
        <v>612</v>
      </c>
      <c r="D11" s="24" t="s">
        <v>627</v>
      </c>
      <c r="E11" s="25">
        <f>TRUNC(내역서!J5, 0)</f>
        <v>307959185</v>
      </c>
      <c r="F11" s="7" t="s">
        <v>52</v>
      </c>
      <c r="G11" s="7" t="s">
        <v>52</v>
      </c>
    </row>
    <row r="12" spans="1:7" ht="21.95" customHeight="1">
      <c r="A12" s="1" t="s">
        <v>628</v>
      </c>
      <c r="B12" s="281"/>
      <c r="C12" s="281"/>
      <c r="D12" s="24" t="s">
        <v>629</v>
      </c>
      <c r="E12" s="25">
        <f>TRUNC(E10*0.0373, 0)</f>
        <v>2022096</v>
      </c>
      <c r="F12" s="7" t="s">
        <v>630</v>
      </c>
      <c r="G12" s="7" t="s">
        <v>52</v>
      </c>
    </row>
    <row r="13" spans="1:7" ht="21.95" customHeight="1">
      <c r="A13" s="1" t="s">
        <v>631</v>
      </c>
      <c r="B13" s="281"/>
      <c r="C13" s="281"/>
      <c r="D13" s="24" t="s">
        <v>632</v>
      </c>
      <c r="E13" s="25">
        <f>TRUNC(E10*0.0087, 0)</f>
        <v>471641</v>
      </c>
      <c r="F13" s="7" t="s">
        <v>633</v>
      </c>
      <c r="G13" s="7" t="s">
        <v>52</v>
      </c>
    </row>
    <row r="14" spans="1:7" ht="21.95" customHeight="1">
      <c r="A14" s="1" t="s">
        <v>634</v>
      </c>
      <c r="B14" s="281"/>
      <c r="C14" s="281"/>
      <c r="D14" s="24" t="s">
        <v>635</v>
      </c>
      <c r="E14" s="25">
        <f>TRUNC(E8*0.03335, 0)</f>
        <v>1620035</v>
      </c>
      <c r="F14" s="7" t="s">
        <v>636</v>
      </c>
      <c r="G14" s="7" t="s">
        <v>52</v>
      </c>
    </row>
    <row r="15" spans="1:7" ht="21.95" customHeight="1">
      <c r="A15" s="1" t="s">
        <v>637</v>
      </c>
      <c r="B15" s="281"/>
      <c r="C15" s="281"/>
      <c r="D15" s="24" t="s">
        <v>638</v>
      </c>
      <c r="E15" s="25">
        <f>TRUNC(E8*0.045, 0)</f>
        <v>2185955</v>
      </c>
      <c r="F15" s="7" t="s">
        <v>639</v>
      </c>
      <c r="G15" s="7" t="s">
        <v>52</v>
      </c>
    </row>
    <row r="16" spans="1:7" ht="21.95" customHeight="1">
      <c r="A16" s="1" t="s">
        <v>640</v>
      </c>
      <c r="B16" s="281"/>
      <c r="C16" s="281"/>
      <c r="D16" s="24" t="s">
        <v>641</v>
      </c>
      <c r="E16" s="25">
        <f>TRUNC(E14*0.1025, 0)</f>
        <v>166053</v>
      </c>
      <c r="F16" s="7" t="s">
        <v>642</v>
      </c>
      <c r="G16" s="7" t="s">
        <v>52</v>
      </c>
    </row>
    <row r="17" spans="1:7" ht="21.95" customHeight="1">
      <c r="A17" s="1" t="s">
        <v>643</v>
      </c>
      <c r="B17" s="281"/>
      <c r="C17" s="281"/>
      <c r="D17" s="24" t="s">
        <v>644</v>
      </c>
      <c r="E17" s="25">
        <f>TRUNC(E8*0.023, 0)</f>
        <v>1117266</v>
      </c>
      <c r="F17" s="7" t="s">
        <v>645</v>
      </c>
      <c r="G17" s="7" t="s">
        <v>52</v>
      </c>
    </row>
    <row r="18" spans="1:7" ht="21.95" customHeight="1">
      <c r="A18" s="1" t="s">
        <v>646</v>
      </c>
      <c r="B18" s="281"/>
      <c r="C18" s="281"/>
      <c r="D18" s="24" t="s">
        <v>647</v>
      </c>
      <c r="E18" s="25">
        <f>TRUNC((E7+E8+0)*0.0293, 0)</f>
        <v>2048415</v>
      </c>
      <c r="F18" s="7" t="s">
        <v>648</v>
      </c>
      <c r="G18" s="7" t="s">
        <v>52</v>
      </c>
    </row>
    <row r="19" spans="1:7" ht="21.95" customHeight="1">
      <c r="A19" s="1" t="s">
        <v>649</v>
      </c>
      <c r="B19" s="281"/>
      <c r="C19" s="281"/>
      <c r="D19" s="245" t="s">
        <v>650</v>
      </c>
      <c r="E19" s="246">
        <f>TRUNC((E7+E10)*0.067, 0)</f>
        <v>5061628</v>
      </c>
      <c r="F19" s="247" t="s">
        <v>808</v>
      </c>
      <c r="G19" s="247" t="s">
        <v>52</v>
      </c>
    </row>
    <row r="20" spans="1:7" ht="21.95" customHeight="1">
      <c r="A20" s="1" t="s">
        <v>651</v>
      </c>
      <c r="B20" s="281"/>
      <c r="C20" s="281"/>
      <c r="D20" s="24" t="s">
        <v>620</v>
      </c>
      <c r="E20" s="25">
        <f>TRUNC(E11+E12+E13+E14+E15+E17+E18+E16+E19, 0)</f>
        <v>322652274</v>
      </c>
      <c r="F20" s="7" t="s">
        <v>52</v>
      </c>
      <c r="G20" s="7" t="s">
        <v>52</v>
      </c>
    </row>
    <row r="21" spans="1:7" ht="21.95" customHeight="1">
      <c r="A21" s="1" t="s">
        <v>652</v>
      </c>
      <c r="B21" s="282" t="s">
        <v>653</v>
      </c>
      <c r="C21" s="282"/>
      <c r="D21" s="283"/>
      <c r="E21" s="25">
        <f>TRUNC(E7+E10+E20, 0)</f>
        <v>398198972</v>
      </c>
      <c r="F21" s="7" t="s">
        <v>52</v>
      </c>
      <c r="G21" s="7" t="s">
        <v>52</v>
      </c>
    </row>
    <row r="22" spans="1:7" ht="21.95" customHeight="1">
      <c r="A22" s="1" t="s">
        <v>654</v>
      </c>
      <c r="B22" s="282" t="s">
        <v>655</v>
      </c>
      <c r="C22" s="282"/>
      <c r="D22" s="283"/>
      <c r="E22" s="25">
        <f>TRUNC(E21*0.06, 0)</f>
        <v>23891938</v>
      </c>
      <c r="F22" s="7" t="s">
        <v>656</v>
      </c>
      <c r="G22" s="7" t="s">
        <v>52</v>
      </c>
    </row>
    <row r="23" spans="1:7" ht="21.95" customHeight="1">
      <c r="A23" s="1" t="s">
        <v>657</v>
      </c>
      <c r="B23" s="282" t="s">
        <v>658</v>
      </c>
      <c r="C23" s="282"/>
      <c r="D23" s="283"/>
      <c r="E23" s="25">
        <f>TRUNC((E10+E20+E22)*0.15-4295, 0)</f>
        <v>60109090</v>
      </c>
      <c r="F23" s="7" t="s">
        <v>659</v>
      </c>
      <c r="G23" s="7" t="s">
        <v>52</v>
      </c>
    </row>
    <row r="24" spans="1:7" ht="21.95" customHeight="1">
      <c r="A24" s="1" t="s">
        <v>660</v>
      </c>
      <c r="B24" s="282" t="s">
        <v>661</v>
      </c>
      <c r="C24" s="282"/>
      <c r="D24" s="283"/>
      <c r="E24" s="25">
        <f>TRUNC(E21+E22+E23, 0)</f>
        <v>482200000</v>
      </c>
      <c r="F24" s="7" t="s">
        <v>52</v>
      </c>
      <c r="G24" s="7" t="s">
        <v>52</v>
      </c>
    </row>
    <row r="25" spans="1:7" ht="21.95" customHeight="1">
      <c r="A25" s="1" t="s">
        <v>662</v>
      </c>
      <c r="B25" s="282" t="s">
        <v>663</v>
      </c>
      <c r="C25" s="282"/>
      <c r="D25" s="283"/>
      <c r="E25" s="25">
        <f>TRUNC(E24*0.1, 0)</f>
        <v>48220000</v>
      </c>
      <c r="F25" s="7" t="s">
        <v>664</v>
      </c>
      <c r="G25" s="7" t="s">
        <v>52</v>
      </c>
    </row>
    <row r="26" spans="1:7" ht="21.95" customHeight="1">
      <c r="A26" s="1" t="s">
        <v>665</v>
      </c>
      <c r="B26" s="282" t="s">
        <v>666</v>
      </c>
      <c r="C26" s="282"/>
      <c r="D26" s="283"/>
      <c r="E26" s="25">
        <f>TRUNC(E24+E25, 0)</f>
        <v>530420000</v>
      </c>
      <c r="F26" s="7" t="s">
        <v>52</v>
      </c>
      <c r="G26" s="7" t="s">
        <v>52</v>
      </c>
    </row>
    <row r="27" spans="1:7" ht="21.95" customHeight="1">
      <c r="A27" s="1" t="s">
        <v>667</v>
      </c>
      <c r="B27" s="282" t="s">
        <v>668</v>
      </c>
      <c r="C27" s="282"/>
      <c r="D27" s="283"/>
      <c r="E27" s="248">
        <f>TRUNC(E26+0, 0)</f>
        <v>530420000</v>
      </c>
      <c r="F27" s="7" t="s">
        <v>52</v>
      </c>
      <c r="G27" s="7" t="s">
        <v>52</v>
      </c>
    </row>
  </sheetData>
  <mergeCells count="15">
    <mergeCell ref="B27:D27"/>
    <mergeCell ref="B21:D21"/>
    <mergeCell ref="B22:D22"/>
    <mergeCell ref="B23:D23"/>
    <mergeCell ref="B24:D24"/>
    <mergeCell ref="B25:D25"/>
    <mergeCell ref="B26:D26"/>
    <mergeCell ref="B1:G1"/>
    <mergeCell ref="B2:E2"/>
    <mergeCell ref="F2:G2"/>
    <mergeCell ref="B3:D3"/>
    <mergeCell ref="B4:B20"/>
    <mergeCell ref="C4:C7"/>
    <mergeCell ref="C8:C10"/>
    <mergeCell ref="C11:C20"/>
  </mergeCells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6"/>
  <sheetViews>
    <sheetView zoomScale="85" zoomScaleNormal="85"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4" width="2.625" hidden="1" customWidth="1"/>
    <col min="45" max="45" width="10.625" hidden="1" customWidth="1"/>
    <col min="46" max="48" width="1.625" hidden="1" customWidth="1"/>
    <col min="49" max="49" width="24.625" hidden="1" customWidth="1"/>
    <col min="50" max="50" width="10.625" hidden="1" customWidth="1"/>
    <col min="51" max="51" width="18.625" hidden="1" customWidth="1"/>
  </cols>
  <sheetData>
    <row r="1" spans="1:51" ht="30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51" ht="3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51" ht="30" customHeight="1">
      <c r="A3" s="286" t="s">
        <v>2</v>
      </c>
      <c r="B3" s="286" t="s">
        <v>3</v>
      </c>
      <c r="C3" s="286" t="s">
        <v>4</v>
      </c>
      <c r="D3" s="286" t="s">
        <v>5</v>
      </c>
      <c r="E3" s="286" t="s">
        <v>6</v>
      </c>
      <c r="F3" s="286"/>
      <c r="G3" s="286" t="s">
        <v>9</v>
      </c>
      <c r="H3" s="286"/>
      <c r="I3" s="286" t="s">
        <v>10</v>
      </c>
      <c r="J3" s="286"/>
      <c r="K3" s="286" t="s">
        <v>11</v>
      </c>
      <c r="L3" s="286"/>
      <c r="M3" s="286" t="s">
        <v>12</v>
      </c>
      <c r="N3" s="284" t="s">
        <v>13</v>
      </c>
      <c r="O3" s="284" t="s">
        <v>14</v>
      </c>
      <c r="P3" s="284" t="s">
        <v>15</v>
      </c>
      <c r="Q3" s="284" t="s">
        <v>16</v>
      </c>
      <c r="R3" s="284" t="s">
        <v>17</v>
      </c>
      <c r="S3" s="284" t="s">
        <v>18</v>
      </c>
      <c r="T3" s="284" t="s">
        <v>19</v>
      </c>
      <c r="U3" s="284" t="s">
        <v>20</v>
      </c>
      <c r="V3" s="284" t="s">
        <v>21</v>
      </c>
      <c r="W3" s="284" t="s">
        <v>22</v>
      </c>
      <c r="X3" s="284" t="s">
        <v>23</v>
      </c>
      <c r="Y3" s="284" t="s">
        <v>24</v>
      </c>
      <c r="Z3" s="284" t="s">
        <v>25</v>
      </c>
      <c r="AA3" s="284" t="s">
        <v>26</v>
      </c>
      <c r="AB3" s="284" t="s">
        <v>27</v>
      </c>
      <c r="AC3" s="284" t="s">
        <v>28</v>
      </c>
      <c r="AD3" s="284" t="s">
        <v>29</v>
      </c>
      <c r="AE3" s="284" t="s">
        <v>30</v>
      </c>
      <c r="AF3" s="284" t="s">
        <v>31</v>
      </c>
      <c r="AG3" s="284" t="s">
        <v>32</v>
      </c>
      <c r="AH3" s="284" t="s">
        <v>33</v>
      </c>
      <c r="AI3" s="284" t="s">
        <v>34</v>
      </c>
      <c r="AJ3" s="284" t="s">
        <v>35</v>
      </c>
      <c r="AK3" s="284" t="s">
        <v>36</v>
      </c>
      <c r="AL3" s="284" t="s">
        <v>37</v>
      </c>
      <c r="AM3" s="284" t="s">
        <v>38</v>
      </c>
      <c r="AN3" s="284" t="s">
        <v>39</v>
      </c>
      <c r="AO3" s="284" t="s">
        <v>40</v>
      </c>
      <c r="AP3" s="284" t="s">
        <v>41</v>
      </c>
      <c r="AQ3" s="284" t="s">
        <v>42</v>
      </c>
      <c r="AR3" s="284" t="s">
        <v>43</v>
      </c>
      <c r="AS3" s="284" t="s">
        <v>44</v>
      </c>
      <c r="AT3" s="284" t="s">
        <v>45</v>
      </c>
      <c r="AU3" s="284" t="s">
        <v>46</v>
      </c>
      <c r="AV3" s="284" t="s">
        <v>47</v>
      </c>
      <c r="AW3" s="284" t="s">
        <v>48</v>
      </c>
      <c r="AX3" s="284" t="s">
        <v>49</v>
      </c>
      <c r="AY3" s="284" t="s">
        <v>50</v>
      </c>
    </row>
    <row r="4" spans="1:51" ht="30" customHeight="1">
      <c r="A4" s="286"/>
      <c r="B4" s="286"/>
      <c r="C4" s="286"/>
      <c r="D4" s="286"/>
      <c r="E4" s="6" t="s">
        <v>7</v>
      </c>
      <c r="F4" s="6" t="s">
        <v>8</v>
      </c>
      <c r="G4" s="6" t="s">
        <v>7</v>
      </c>
      <c r="H4" s="6" t="s">
        <v>8</v>
      </c>
      <c r="I4" s="6" t="s">
        <v>7</v>
      </c>
      <c r="J4" s="6" t="s">
        <v>8</v>
      </c>
      <c r="K4" s="6" t="s">
        <v>7</v>
      </c>
      <c r="L4" s="6" t="s">
        <v>8</v>
      </c>
      <c r="M4" s="286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</row>
    <row r="5" spans="1:51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SUMIF(R6:R35, Q5, F6:F35)</f>
        <v>21335008</v>
      </c>
      <c r="F5" s="10">
        <f t="shared" ref="F5:F36" si="0">TRUNC(E5*D5, 0)</f>
        <v>21335008</v>
      </c>
      <c r="G5" s="10">
        <f>SUMIF(R6:R35, Q5, H6:H35)</f>
        <v>48576784</v>
      </c>
      <c r="H5" s="10">
        <f t="shared" ref="H5:H36" si="1">TRUNC(G5*D5, 0)</f>
        <v>48576784</v>
      </c>
      <c r="I5" s="10">
        <f>SUMIF(R6:R35, Q5, J6:J35)</f>
        <v>307959185</v>
      </c>
      <c r="J5" s="10">
        <f t="shared" ref="J5:J36" si="2">TRUNC(I5*D5, 0)</f>
        <v>307959185</v>
      </c>
      <c r="K5" s="10">
        <f>SUMIF(R6:R35, Q5, L6:L35)</f>
        <v>377870977</v>
      </c>
      <c r="L5" s="10">
        <f t="shared" ref="L5:L36" si="3">TRUNC(F5+H5+J5, 0)</f>
        <v>377870977</v>
      </c>
      <c r="M5" s="8" t="s">
        <v>52</v>
      </c>
      <c r="N5" s="2" t="s">
        <v>52</v>
      </c>
      <c r="O5" s="2" t="s">
        <v>52</v>
      </c>
      <c r="P5" s="2" t="s">
        <v>52</v>
      </c>
      <c r="Q5" s="2" t="s">
        <v>53</v>
      </c>
      <c r="R5" s="2" t="s">
        <v>52</v>
      </c>
      <c r="S5" s="2" t="s">
        <v>54</v>
      </c>
      <c r="T5" s="2" t="s">
        <v>54</v>
      </c>
      <c r="U5" s="2" t="s">
        <v>54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2" t="s">
        <v>52</v>
      </c>
      <c r="AT5" s="3">
        <v>1</v>
      </c>
      <c r="AU5" s="2" t="s">
        <v>52</v>
      </c>
      <c r="AV5" s="2" t="s">
        <v>52</v>
      </c>
      <c r="AW5" s="2" t="s">
        <v>53</v>
      </c>
      <c r="AX5" s="3">
        <v>1</v>
      </c>
      <c r="AY5" s="3"/>
    </row>
    <row r="6" spans="1:51" ht="30" customHeight="1">
      <c r="A6" s="8" t="s">
        <v>55</v>
      </c>
      <c r="B6" s="8" t="s">
        <v>52</v>
      </c>
      <c r="C6" s="8" t="s">
        <v>52</v>
      </c>
      <c r="D6" s="9">
        <v>1</v>
      </c>
      <c r="E6" s="10">
        <f>SUM(F7:F7)</f>
        <v>18727</v>
      </c>
      <c r="F6" s="10">
        <f t="shared" si="0"/>
        <v>18727</v>
      </c>
      <c r="G6" s="10">
        <f>SUM(H7:H7)</f>
        <v>133706</v>
      </c>
      <c r="H6" s="10">
        <f t="shared" si="1"/>
        <v>133706</v>
      </c>
      <c r="I6" s="10">
        <f>SUM(J7:J7)</f>
        <v>0</v>
      </c>
      <c r="J6" s="10">
        <f t="shared" si="2"/>
        <v>0</v>
      </c>
      <c r="K6" s="10">
        <f>SUM(L7:L7)</f>
        <v>152433</v>
      </c>
      <c r="L6" s="10">
        <f t="shared" si="3"/>
        <v>152433</v>
      </c>
      <c r="M6" s="8" t="s">
        <v>52</v>
      </c>
      <c r="N6" s="2" t="s">
        <v>52</v>
      </c>
      <c r="O6" s="2" t="s">
        <v>52</v>
      </c>
      <c r="P6" s="2" t="s">
        <v>52</v>
      </c>
      <c r="Q6" s="2" t="s">
        <v>56</v>
      </c>
      <c r="R6" s="2" t="s">
        <v>53</v>
      </c>
      <c r="S6" s="2" t="s">
        <v>54</v>
      </c>
      <c r="T6" s="2" t="s">
        <v>54</v>
      </c>
      <c r="U6" s="2" t="s">
        <v>54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2" t="s">
        <v>52</v>
      </c>
      <c r="AT6" s="3">
        <v>2</v>
      </c>
      <c r="AU6" s="2" t="s">
        <v>52</v>
      </c>
      <c r="AV6" s="2" t="s">
        <v>52</v>
      </c>
      <c r="AW6" s="2" t="s">
        <v>56</v>
      </c>
      <c r="AX6" s="3">
        <v>2</v>
      </c>
      <c r="AY6" s="3"/>
    </row>
    <row r="7" spans="1:51" ht="30" customHeight="1">
      <c r="A7" s="8" t="s">
        <v>57</v>
      </c>
      <c r="B7" s="8" t="s">
        <v>52</v>
      </c>
      <c r="C7" s="8" t="s">
        <v>58</v>
      </c>
      <c r="D7" s="9">
        <v>1</v>
      </c>
      <c r="E7" s="10">
        <f>TRUNC(일위대가목록!E4,0)</f>
        <v>18727</v>
      </c>
      <c r="F7" s="10">
        <f t="shared" si="0"/>
        <v>18727</v>
      </c>
      <c r="G7" s="10">
        <f>TRUNC(일위대가목록!F4,0)</f>
        <v>133706</v>
      </c>
      <c r="H7" s="10">
        <f t="shared" si="1"/>
        <v>133706</v>
      </c>
      <c r="I7" s="10">
        <f>TRUNC(일위대가목록!G4,0)</f>
        <v>0</v>
      </c>
      <c r="J7" s="10">
        <f t="shared" si="2"/>
        <v>0</v>
      </c>
      <c r="K7" s="10">
        <f>TRUNC(E7+G7+I7, 0)</f>
        <v>152433</v>
      </c>
      <c r="L7" s="10">
        <f t="shared" si="3"/>
        <v>152433</v>
      </c>
      <c r="M7" s="8" t="s">
        <v>52</v>
      </c>
      <c r="N7" s="2" t="s">
        <v>59</v>
      </c>
      <c r="O7" s="2" t="s">
        <v>52</v>
      </c>
      <c r="P7" s="2" t="s">
        <v>52</v>
      </c>
      <c r="Q7" s="2" t="s">
        <v>56</v>
      </c>
      <c r="R7" s="2" t="s">
        <v>52</v>
      </c>
      <c r="S7" s="2" t="s">
        <v>60</v>
      </c>
      <c r="T7" s="2" t="s">
        <v>54</v>
      </c>
      <c r="U7" s="2" t="s">
        <v>54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2" t="s">
        <v>52</v>
      </c>
      <c r="AT7" s="3"/>
      <c r="AU7" s="2" t="s">
        <v>52</v>
      </c>
      <c r="AV7" s="2" t="s">
        <v>52</v>
      </c>
      <c r="AW7" s="2" t="s">
        <v>61</v>
      </c>
      <c r="AX7" s="3">
        <v>6</v>
      </c>
      <c r="AY7" s="3"/>
    </row>
    <row r="8" spans="1:51" ht="30" customHeight="1">
      <c r="A8" s="8" t="s">
        <v>62</v>
      </c>
      <c r="B8" s="8" t="s">
        <v>52</v>
      </c>
      <c r="C8" s="8" t="s">
        <v>52</v>
      </c>
      <c r="D8" s="9">
        <v>1</v>
      </c>
      <c r="E8" s="10">
        <f>SUM(F9:F16)</f>
        <v>160625</v>
      </c>
      <c r="F8" s="10">
        <f t="shared" si="0"/>
        <v>160625</v>
      </c>
      <c r="G8" s="10">
        <f>SUM(H9:H16)</f>
        <v>4633515</v>
      </c>
      <c r="H8" s="10">
        <f t="shared" si="1"/>
        <v>4633515</v>
      </c>
      <c r="I8" s="10">
        <f>SUM(J9:J16)</f>
        <v>138891</v>
      </c>
      <c r="J8" s="10">
        <f t="shared" si="2"/>
        <v>138891</v>
      </c>
      <c r="K8" s="10">
        <f>SUM(L9:L16)</f>
        <v>4933031</v>
      </c>
      <c r="L8" s="10">
        <f t="shared" si="3"/>
        <v>4933031</v>
      </c>
      <c r="M8" s="8" t="s">
        <v>52</v>
      </c>
      <c r="N8" s="2" t="s">
        <v>52</v>
      </c>
      <c r="O8" s="2" t="s">
        <v>52</v>
      </c>
      <c r="P8" s="2" t="s">
        <v>52</v>
      </c>
      <c r="Q8" s="2" t="s">
        <v>63</v>
      </c>
      <c r="R8" s="2" t="s">
        <v>53</v>
      </c>
      <c r="S8" s="2" t="s">
        <v>54</v>
      </c>
      <c r="T8" s="2" t="s">
        <v>54</v>
      </c>
      <c r="U8" s="2" t="s">
        <v>54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2" t="s">
        <v>52</v>
      </c>
      <c r="AT8" s="3">
        <v>2</v>
      </c>
      <c r="AU8" s="2" t="s">
        <v>52</v>
      </c>
      <c r="AV8" s="2" t="s">
        <v>52</v>
      </c>
      <c r="AW8" s="2" t="s">
        <v>63</v>
      </c>
      <c r="AX8" s="3">
        <v>3</v>
      </c>
      <c r="AY8" s="3"/>
    </row>
    <row r="9" spans="1:51" ht="30" customHeight="1">
      <c r="A9" s="8" t="s">
        <v>64</v>
      </c>
      <c r="B9" s="8" t="s">
        <v>65</v>
      </c>
      <c r="C9" s="8" t="s">
        <v>66</v>
      </c>
      <c r="D9" s="9">
        <v>2</v>
      </c>
      <c r="E9" s="10">
        <f>TRUNC(일위대가목록!E5,0)</f>
        <v>5115</v>
      </c>
      <c r="F9" s="10">
        <f t="shared" si="0"/>
        <v>10230</v>
      </c>
      <c r="G9" s="10">
        <f>TRUNC(일위대가목록!F5,0)</f>
        <v>74380</v>
      </c>
      <c r="H9" s="10">
        <f t="shared" si="1"/>
        <v>148760</v>
      </c>
      <c r="I9" s="10">
        <f>TRUNC(일위대가목록!G5,0)</f>
        <v>0</v>
      </c>
      <c r="J9" s="10">
        <f t="shared" si="2"/>
        <v>0</v>
      </c>
      <c r="K9" s="10">
        <f t="shared" ref="K9:K16" si="4">TRUNC(E9+G9+I9, 0)</f>
        <v>79495</v>
      </c>
      <c r="L9" s="10">
        <f t="shared" si="3"/>
        <v>158990</v>
      </c>
      <c r="M9" s="8" t="s">
        <v>52</v>
      </c>
      <c r="N9" s="2" t="s">
        <v>67</v>
      </c>
      <c r="O9" s="2" t="s">
        <v>52</v>
      </c>
      <c r="P9" s="2" t="s">
        <v>52</v>
      </c>
      <c r="Q9" s="2" t="s">
        <v>63</v>
      </c>
      <c r="R9" s="2" t="s">
        <v>52</v>
      </c>
      <c r="S9" s="2" t="s">
        <v>60</v>
      </c>
      <c r="T9" s="2" t="s">
        <v>54</v>
      </c>
      <c r="U9" s="2" t="s">
        <v>54</v>
      </c>
      <c r="V9" s="3"/>
      <c r="W9" s="3"/>
      <c r="X9" s="3"/>
      <c r="Y9" s="3">
        <v>1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2" t="s">
        <v>52</v>
      </c>
      <c r="AT9" s="3"/>
      <c r="AU9" s="2" t="s">
        <v>52</v>
      </c>
      <c r="AV9" s="2" t="s">
        <v>52</v>
      </c>
      <c r="AW9" s="2" t="s">
        <v>68</v>
      </c>
      <c r="AX9" s="3">
        <v>8</v>
      </c>
      <c r="AY9" s="3"/>
    </row>
    <row r="10" spans="1:51" ht="30" customHeight="1">
      <c r="A10" s="8" t="s">
        <v>64</v>
      </c>
      <c r="B10" s="8" t="s">
        <v>69</v>
      </c>
      <c r="C10" s="8" t="s">
        <v>66</v>
      </c>
      <c r="D10" s="9">
        <v>4</v>
      </c>
      <c r="E10" s="10">
        <f>TRUNC(일위대가목록!E6,0)</f>
        <v>8038</v>
      </c>
      <c r="F10" s="10">
        <f t="shared" si="0"/>
        <v>32152</v>
      </c>
      <c r="G10" s="10">
        <f>TRUNC(일위대가목록!F6,0)</f>
        <v>127913</v>
      </c>
      <c r="H10" s="10">
        <f t="shared" si="1"/>
        <v>511652</v>
      </c>
      <c r="I10" s="10">
        <f>TRUNC(일위대가목록!G6,0)</f>
        <v>0</v>
      </c>
      <c r="J10" s="10">
        <f t="shared" si="2"/>
        <v>0</v>
      </c>
      <c r="K10" s="10">
        <f t="shared" si="4"/>
        <v>135951</v>
      </c>
      <c r="L10" s="10">
        <f t="shared" si="3"/>
        <v>543804</v>
      </c>
      <c r="M10" s="8" t="s">
        <v>52</v>
      </c>
      <c r="N10" s="2" t="s">
        <v>70</v>
      </c>
      <c r="O10" s="2" t="s">
        <v>52</v>
      </c>
      <c r="P10" s="2" t="s">
        <v>52</v>
      </c>
      <c r="Q10" s="2" t="s">
        <v>63</v>
      </c>
      <c r="R10" s="2" t="s">
        <v>52</v>
      </c>
      <c r="S10" s="2" t="s">
        <v>60</v>
      </c>
      <c r="T10" s="2" t="s">
        <v>54</v>
      </c>
      <c r="U10" s="2" t="s">
        <v>54</v>
      </c>
      <c r="V10" s="3"/>
      <c r="W10" s="3"/>
      <c r="X10" s="3"/>
      <c r="Y10" s="3">
        <v>1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2" t="s">
        <v>52</v>
      </c>
      <c r="AT10" s="3"/>
      <c r="AU10" s="2" t="s">
        <v>52</v>
      </c>
      <c r="AV10" s="2" t="s">
        <v>52</v>
      </c>
      <c r="AW10" s="2" t="s">
        <v>71</v>
      </c>
      <c r="AX10" s="3">
        <v>9</v>
      </c>
      <c r="AY10" s="3"/>
    </row>
    <row r="11" spans="1:51" ht="30" customHeight="1">
      <c r="A11" s="8" t="s">
        <v>72</v>
      </c>
      <c r="B11" s="8" t="s">
        <v>73</v>
      </c>
      <c r="C11" s="8" t="s">
        <v>74</v>
      </c>
      <c r="D11" s="9">
        <v>3.56</v>
      </c>
      <c r="E11" s="10">
        <f>TRUNC(중기단가목록!E4,0)</f>
        <v>253</v>
      </c>
      <c r="F11" s="10">
        <f t="shared" si="0"/>
        <v>900</v>
      </c>
      <c r="G11" s="10">
        <f>TRUNC(중기단가목록!F4,0)</f>
        <v>877</v>
      </c>
      <c r="H11" s="10">
        <f t="shared" si="1"/>
        <v>3122</v>
      </c>
      <c r="I11" s="10">
        <f>TRUNC(중기단가목록!G4,0)</f>
        <v>307</v>
      </c>
      <c r="J11" s="10">
        <f t="shared" si="2"/>
        <v>1092</v>
      </c>
      <c r="K11" s="10">
        <f t="shared" si="4"/>
        <v>1437</v>
      </c>
      <c r="L11" s="10">
        <f t="shared" si="3"/>
        <v>5114</v>
      </c>
      <c r="M11" s="8" t="s">
        <v>52</v>
      </c>
      <c r="N11" s="2" t="s">
        <v>75</v>
      </c>
      <c r="O11" s="2" t="s">
        <v>52</v>
      </c>
      <c r="P11" s="2" t="s">
        <v>52</v>
      </c>
      <c r="Q11" s="2" t="s">
        <v>63</v>
      </c>
      <c r="R11" s="2" t="s">
        <v>52</v>
      </c>
      <c r="S11" s="2" t="s">
        <v>54</v>
      </c>
      <c r="T11" s="2" t="s">
        <v>60</v>
      </c>
      <c r="U11" s="2" t="s">
        <v>54</v>
      </c>
      <c r="V11" s="3"/>
      <c r="W11" s="3"/>
      <c r="X11" s="3"/>
      <c r="Y11" s="3">
        <v>1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2" t="s">
        <v>52</v>
      </c>
      <c r="AT11" s="3"/>
      <c r="AU11" s="2" t="s">
        <v>52</v>
      </c>
      <c r="AV11" s="2" t="s">
        <v>52</v>
      </c>
      <c r="AW11" s="2" t="s">
        <v>76</v>
      </c>
      <c r="AX11" s="3">
        <v>10</v>
      </c>
      <c r="AY11" s="3"/>
    </row>
    <row r="12" spans="1:51" ht="30" customHeight="1">
      <c r="A12" s="8" t="s">
        <v>77</v>
      </c>
      <c r="B12" s="8" t="s">
        <v>78</v>
      </c>
      <c r="C12" s="8" t="s">
        <v>74</v>
      </c>
      <c r="D12" s="9">
        <v>256.83</v>
      </c>
      <c r="E12" s="10">
        <f>TRUNC(중기단가목록!E5,0)</f>
        <v>262</v>
      </c>
      <c r="F12" s="10">
        <f t="shared" si="0"/>
        <v>67289</v>
      </c>
      <c r="G12" s="10">
        <f>TRUNC(중기단가목록!F5,0)</f>
        <v>6458</v>
      </c>
      <c r="H12" s="10">
        <f t="shared" si="1"/>
        <v>1658608</v>
      </c>
      <c r="I12" s="10">
        <f>TRUNC(중기단가목록!G5,0)</f>
        <v>317</v>
      </c>
      <c r="J12" s="10">
        <f t="shared" si="2"/>
        <v>81415</v>
      </c>
      <c r="K12" s="10">
        <f t="shared" si="4"/>
        <v>7037</v>
      </c>
      <c r="L12" s="10">
        <f t="shared" si="3"/>
        <v>1807312</v>
      </c>
      <c r="M12" s="8" t="s">
        <v>52</v>
      </c>
      <c r="N12" s="2" t="s">
        <v>79</v>
      </c>
      <c r="O12" s="2" t="s">
        <v>52</v>
      </c>
      <c r="P12" s="2" t="s">
        <v>52</v>
      </c>
      <c r="Q12" s="2" t="s">
        <v>63</v>
      </c>
      <c r="R12" s="2" t="s">
        <v>52</v>
      </c>
      <c r="S12" s="2" t="s">
        <v>54</v>
      </c>
      <c r="T12" s="2" t="s">
        <v>60</v>
      </c>
      <c r="U12" s="2" t="s">
        <v>54</v>
      </c>
      <c r="V12" s="3"/>
      <c r="W12" s="3"/>
      <c r="X12" s="3"/>
      <c r="Y12" s="3">
        <v>1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2" t="s">
        <v>52</v>
      </c>
      <c r="AT12" s="3"/>
      <c r="AU12" s="2" t="s">
        <v>52</v>
      </c>
      <c r="AV12" s="2" t="s">
        <v>52</v>
      </c>
      <c r="AW12" s="2" t="s">
        <v>80</v>
      </c>
      <c r="AX12" s="3">
        <v>12</v>
      </c>
      <c r="AY12" s="3"/>
    </row>
    <row r="13" spans="1:51" ht="30" customHeight="1">
      <c r="A13" s="8" t="s">
        <v>81</v>
      </c>
      <c r="B13" s="8" t="s">
        <v>73</v>
      </c>
      <c r="C13" s="8" t="s">
        <v>74</v>
      </c>
      <c r="D13" s="9">
        <v>42.47</v>
      </c>
      <c r="E13" s="10">
        <f>TRUNC(중기단가목록!E6,0)</f>
        <v>266</v>
      </c>
      <c r="F13" s="10">
        <f t="shared" si="0"/>
        <v>11297</v>
      </c>
      <c r="G13" s="10">
        <f>TRUNC(중기단가목록!F6,0)</f>
        <v>12756</v>
      </c>
      <c r="H13" s="10">
        <f t="shared" si="1"/>
        <v>541747</v>
      </c>
      <c r="I13" s="10">
        <f>TRUNC(중기단가목록!G6,0)</f>
        <v>228</v>
      </c>
      <c r="J13" s="10">
        <f t="shared" si="2"/>
        <v>9683</v>
      </c>
      <c r="K13" s="10">
        <f t="shared" si="4"/>
        <v>13250</v>
      </c>
      <c r="L13" s="10">
        <f t="shared" si="3"/>
        <v>562727</v>
      </c>
      <c r="M13" s="8" t="s">
        <v>52</v>
      </c>
      <c r="N13" s="2" t="s">
        <v>82</v>
      </c>
      <c r="O13" s="2" t="s">
        <v>52</v>
      </c>
      <c r="P13" s="2" t="s">
        <v>52</v>
      </c>
      <c r="Q13" s="2" t="s">
        <v>63</v>
      </c>
      <c r="R13" s="2" t="s">
        <v>52</v>
      </c>
      <c r="S13" s="2" t="s">
        <v>54</v>
      </c>
      <c r="T13" s="2" t="s">
        <v>60</v>
      </c>
      <c r="U13" s="2" t="s">
        <v>54</v>
      </c>
      <c r="V13" s="3"/>
      <c r="W13" s="3"/>
      <c r="X13" s="3"/>
      <c r="Y13" s="3">
        <v>1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2" t="s">
        <v>52</v>
      </c>
      <c r="AT13" s="3"/>
      <c r="AU13" s="2" t="s">
        <v>52</v>
      </c>
      <c r="AV13" s="2" t="s">
        <v>52</v>
      </c>
      <c r="AW13" s="2" t="s">
        <v>83</v>
      </c>
      <c r="AX13" s="3">
        <v>11</v>
      </c>
      <c r="AY13" s="3"/>
    </row>
    <row r="14" spans="1:51" ht="30" customHeight="1">
      <c r="A14" s="8" t="s">
        <v>84</v>
      </c>
      <c r="B14" s="8" t="s">
        <v>85</v>
      </c>
      <c r="C14" s="8" t="s">
        <v>74</v>
      </c>
      <c r="D14" s="9">
        <v>1.47</v>
      </c>
      <c r="E14" s="10">
        <f>TRUNC(중기단가목록!E7,0)</f>
        <v>305</v>
      </c>
      <c r="F14" s="10">
        <f t="shared" si="0"/>
        <v>448</v>
      </c>
      <c r="G14" s="10">
        <f>TRUNC(중기단가목록!F7,0)</f>
        <v>9850</v>
      </c>
      <c r="H14" s="10">
        <f t="shared" si="1"/>
        <v>14479</v>
      </c>
      <c r="I14" s="10">
        <f>TRUNC(중기단가목록!G7,0)</f>
        <v>261</v>
      </c>
      <c r="J14" s="10">
        <f t="shared" si="2"/>
        <v>383</v>
      </c>
      <c r="K14" s="10">
        <f t="shared" si="4"/>
        <v>10416</v>
      </c>
      <c r="L14" s="10">
        <f t="shared" si="3"/>
        <v>15310</v>
      </c>
      <c r="M14" s="8" t="s">
        <v>52</v>
      </c>
      <c r="N14" s="2" t="s">
        <v>86</v>
      </c>
      <c r="O14" s="2" t="s">
        <v>52</v>
      </c>
      <c r="P14" s="2" t="s">
        <v>52</v>
      </c>
      <c r="Q14" s="2" t="s">
        <v>63</v>
      </c>
      <c r="R14" s="2" t="s">
        <v>52</v>
      </c>
      <c r="S14" s="2" t="s">
        <v>54</v>
      </c>
      <c r="T14" s="2" t="s">
        <v>60</v>
      </c>
      <c r="U14" s="2" t="s">
        <v>54</v>
      </c>
      <c r="V14" s="3"/>
      <c r="W14" s="3"/>
      <c r="X14" s="3"/>
      <c r="Y14" s="3">
        <v>1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" t="s">
        <v>52</v>
      </c>
      <c r="AT14" s="3"/>
      <c r="AU14" s="2" t="s">
        <v>52</v>
      </c>
      <c r="AV14" s="2" t="s">
        <v>52</v>
      </c>
      <c r="AW14" s="2" t="s">
        <v>87</v>
      </c>
      <c r="AX14" s="3">
        <v>13</v>
      </c>
      <c r="AY14" s="3"/>
    </row>
    <row r="15" spans="1:51" ht="30" customHeight="1">
      <c r="A15" s="8" t="s">
        <v>88</v>
      </c>
      <c r="B15" s="8" t="s">
        <v>89</v>
      </c>
      <c r="C15" s="8" t="s">
        <v>74</v>
      </c>
      <c r="D15" s="9">
        <v>216.44</v>
      </c>
      <c r="E15" s="10">
        <f>TRUNC(중기단가목록!E8,0)</f>
        <v>177</v>
      </c>
      <c r="F15" s="10">
        <f t="shared" si="0"/>
        <v>38309</v>
      </c>
      <c r="G15" s="10">
        <f>TRUNC(중기단가목록!F8,0)</f>
        <v>6163</v>
      </c>
      <c r="H15" s="10">
        <f t="shared" si="1"/>
        <v>1333919</v>
      </c>
      <c r="I15" s="10">
        <f>TRUNC(중기단가목록!G8,0)</f>
        <v>214</v>
      </c>
      <c r="J15" s="10">
        <f t="shared" si="2"/>
        <v>46318</v>
      </c>
      <c r="K15" s="10">
        <f t="shared" si="4"/>
        <v>6554</v>
      </c>
      <c r="L15" s="10">
        <f t="shared" si="3"/>
        <v>1418546</v>
      </c>
      <c r="M15" s="8" t="s">
        <v>52</v>
      </c>
      <c r="N15" s="2" t="s">
        <v>90</v>
      </c>
      <c r="O15" s="2" t="s">
        <v>52</v>
      </c>
      <c r="P15" s="2" t="s">
        <v>52</v>
      </c>
      <c r="Q15" s="2" t="s">
        <v>63</v>
      </c>
      <c r="R15" s="2" t="s">
        <v>52</v>
      </c>
      <c r="S15" s="2" t="s">
        <v>54</v>
      </c>
      <c r="T15" s="2" t="s">
        <v>60</v>
      </c>
      <c r="U15" s="2" t="s">
        <v>54</v>
      </c>
      <c r="V15" s="3"/>
      <c r="W15" s="3"/>
      <c r="X15" s="3"/>
      <c r="Y15" s="3">
        <v>1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2" t="s">
        <v>52</v>
      </c>
      <c r="AT15" s="3"/>
      <c r="AU15" s="2" t="s">
        <v>52</v>
      </c>
      <c r="AV15" s="2" t="s">
        <v>52</v>
      </c>
      <c r="AW15" s="2" t="s">
        <v>91</v>
      </c>
      <c r="AX15" s="3">
        <v>14</v>
      </c>
      <c r="AY15" s="3"/>
    </row>
    <row r="16" spans="1:51" ht="30" customHeight="1">
      <c r="A16" s="8" t="s">
        <v>92</v>
      </c>
      <c r="B16" s="8" t="s">
        <v>93</v>
      </c>
      <c r="C16" s="8" t="s">
        <v>94</v>
      </c>
      <c r="D16" s="9">
        <v>1</v>
      </c>
      <c r="E16" s="10">
        <v>0</v>
      </c>
      <c r="F16" s="10">
        <f t="shared" si="0"/>
        <v>0</v>
      </c>
      <c r="G16" s="10">
        <f>ROUNDDOWN(SUMIF(Y9:Y16, RIGHTB(N16, 1), H9:H16)*X16, 0)</f>
        <v>421228</v>
      </c>
      <c r="H16" s="10">
        <f t="shared" si="1"/>
        <v>421228</v>
      </c>
      <c r="I16" s="10">
        <v>0</v>
      </c>
      <c r="J16" s="10">
        <f t="shared" si="2"/>
        <v>0</v>
      </c>
      <c r="K16" s="10">
        <f t="shared" si="4"/>
        <v>421228</v>
      </c>
      <c r="L16" s="10">
        <f t="shared" si="3"/>
        <v>421228</v>
      </c>
      <c r="M16" s="8" t="s">
        <v>52</v>
      </c>
      <c r="N16" s="2" t="s">
        <v>95</v>
      </c>
      <c r="O16" s="2" t="s">
        <v>52</v>
      </c>
      <c r="P16" s="2" t="s">
        <v>52</v>
      </c>
      <c r="Q16" s="2" t="s">
        <v>63</v>
      </c>
      <c r="R16" s="2" t="s">
        <v>52</v>
      </c>
      <c r="S16" s="2" t="s">
        <v>54</v>
      </c>
      <c r="T16" s="2" t="s">
        <v>54</v>
      </c>
      <c r="U16" s="2" t="s">
        <v>54</v>
      </c>
      <c r="V16" s="3">
        <v>1</v>
      </c>
      <c r="W16" s="3">
        <v>1</v>
      </c>
      <c r="X16" s="3">
        <v>0.1</v>
      </c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 t="s">
        <v>52</v>
      </c>
      <c r="AT16" s="3"/>
      <c r="AU16" s="2" t="s">
        <v>52</v>
      </c>
      <c r="AV16" s="2" t="s">
        <v>52</v>
      </c>
      <c r="AW16" s="2" t="s">
        <v>96</v>
      </c>
      <c r="AX16" s="3">
        <v>37</v>
      </c>
      <c r="AY16" s="3"/>
    </row>
    <row r="17" spans="1:51" ht="30" customHeight="1">
      <c r="A17" s="8" t="s">
        <v>97</v>
      </c>
      <c r="B17" s="8" t="s">
        <v>52</v>
      </c>
      <c r="C17" s="8" t="s">
        <v>52</v>
      </c>
      <c r="D17" s="9">
        <v>1</v>
      </c>
      <c r="E17" s="10">
        <f>SUM(F18:F27)</f>
        <v>21105656</v>
      </c>
      <c r="F17" s="10">
        <f t="shared" si="0"/>
        <v>21105656</v>
      </c>
      <c r="G17" s="10">
        <f>SUM(H18:H27)</f>
        <v>43809563</v>
      </c>
      <c r="H17" s="10">
        <f t="shared" si="1"/>
        <v>43809563</v>
      </c>
      <c r="I17" s="10">
        <f>SUM(J18:J27)</f>
        <v>3697709</v>
      </c>
      <c r="J17" s="10">
        <f t="shared" si="2"/>
        <v>3697709</v>
      </c>
      <c r="K17" s="10">
        <f>SUM(L18:L27)</f>
        <v>68612928</v>
      </c>
      <c r="L17" s="10">
        <f t="shared" si="3"/>
        <v>68612928</v>
      </c>
      <c r="M17" s="8" t="s">
        <v>52</v>
      </c>
      <c r="N17" s="2" t="s">
        <v>52</v>
      </c>
      <c r="O17" s="2" t="s">
        <v>52</v>
      </c>
      <c r="P17" s="2" t="s">
        <v>52</v>
      </c>
      <c r="Q17" s="2" t="s">
        <v>98</v>
      </c>
      <c r="R17" s="2" t="s">
        <v>53</v>
      </c>
      <c r="S17" s="2" t="s">
        <v>54</v>
      </c>
      <c r="T17" s="2" t="s">
        <v>54</v>
      </c>
      <c r="U17" s="2" t="s">
        <v>54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2" t="s">
        <v>52</v>
      </c>
      <c r="AT17" s="3">
        <v>2</v>
      </c>
      <c r="AU17" s="2" t="s">
        <v>52</v>
      </c>
      <c r="AV17" s="2" t="s">
        <v>52</v>
      </c>
      <c r="AW17" s="2" t="s">
        <v>98</v>
      </c>
      <c r="AX17" s="3">
        <v>4</v>
      </c>
      <c r="AY17" s="3"/>
    </row>
    <row r="18" spans="1:51" ht="30" customHeight="1">
      <c r="A18" s="8" t="s">
        <v>99</v>
      </c>
      <c r="B18" s="8" t="s">
        <v>100</v>
      </c>
      <c r="C18" s="8" t="s">
        <v>101</v>
      </c>
      <c r="D18" s="9">
        <v>13.5</v>
      </c>
      <c r="E18" s="10">
        <f>TRUNC(일위대가목록!E7,0)</f>
        <v>61843</v>
      </c>
      <c r="F18" s="10">
        <f t="shared" si="0"/>
        <v>834880</v>
      </c>
      <c r="G18" s="10">
        <f>TRUNC(일위대가목록!F7,0)</f>
        <v>721635</v>
      </c>
      <c r="H18" s="10">
        <f t="shared" si="1"/>
        <v>9742072</v>
      </c>
      <c r="I18" s="10">
        <f>TRUNC(일위대가목록!G7,0)</f>
        <v>80275</v>
      </c>
      <c r="J18" s="10">
        <f t="shared" si="2"/>
        <v>1083712</v>
      </c>
      <c r="K18" s="10">
        <f t="shared" ref="K18:K27" si="5">TRUNC(E18+G18+I18, 0)</f>
        <v>863753</v>
      </c>
      <c r="L18" s="10">
        <f t="shared" si="3"/>
        <v>11660664</v>
      </c>
      <c r="M18" s="8" t="s">
        <v>52</v>
      </c>
      <c r="N18" s="2" t="s">
        <v>102</v>
      </c>
      <c r="O18" s="2" t="s">
        <v>52</v>
      </c>
      <c r="P18" s="2" t="s">
        <v>52</v>
      </c>
      <c r="Q18" s="2" t="s">
        <v>98</v>
      </c>
      <c r="R18" s="2" t="s">
        <v>52</v>
      </c>
      <c r="S18" s="2" t="s">
        <v>60</v>
      </c>
      <c r="T18" s="2" t="s">
        <v>54</v>
      </c>
      <c r="U18" s="2" t="s">
        <v>54</v>
      </c>
      <c r="V18" s="3"/>
      <c r="W18" s="3"/>
      <c r="X18" s="3"/>
      <c r="Y18" s="3">
        <v>1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2" t="s">
        <v>52</v>
      </c>
      <c r="AT18" s="3"/>
      <c r="AU18" s="2" t="s">
        <v>52</v>
      </c>
      <c r="AV18" s="2" t="s">
        <v>52</v>
      </c>
      <c r="AW18" s="2" t="s">
        <v>103</v>
      </c>
      <c r="AX18" s="3">
        <v>15</v>
      </c>
      <c r="AY18" s="3"/>
    </row>
    <row r="19" spans="1:51" ht="30" customHeight="1">
      <c r="A19" s="8" t="s">
        <v>104</v>
      </c>
      <c r="B19" s="8" t="s">
        <v>52</v>
      </c>
      <c r="C19" s="8" t="s">
        <v>105</v>
      </c>
      <c r="D19" s="9">
        <v>19.8</v>
      </c>
      <c r="E19" s="10">
        <f>TRUNC(일위대가목록!E8,0)</f>
        <v>8230</v>
      </c>
      <c r="F19" s="10">
        <f t="shared" si="0"/>
        <v>162954</v>
      </c>
      <c r="G19" s="10">
        <f>TRUNC(일위대가목록!F8,0)</f>
        <v>629991</v>
      </c>
      <c r="H19" s="10">
        <f t="shared" si="1"/>
        <v>12473821</v>
      </c>
      <c r="I19" s="10">
        <f>TRUNC(일위대가목록!G8,0)</f>
        <v>31250</v>
      </c>
      <c r="J19" s="10">
        <f t="shared" si="2"/>
        <v>618750</v>
      </c>
      <c r="K19" s="10">
        <f t="shared" si="5"/>
        <v>669471</v>
      </c>
      <c r="L19" s="10">
        <f t="shared" si="3"/>
        <v>13255525</v>
      </c>
      <c r="M19" s="8" t="s">
        <v>52</v>
      </c>
      <c r="N19" s="2" t="s">
        <v>106</v>
      </c>
      <c r="O19" s="2" t="s">
        <v>52</v>
      </c>
      <c r="P19" s="2" t="s">
        <v>52</v>
      </c>
      <c r="Q19" s="2" t="s">
        <v>98</v>
      </c>
      <c r="R19" s="2" t="s">
        <v>52</v>
      </c>
      <c r="S19" s="2" t="s">
        <v>60</v>
      </c>
      <c r="T19" s="2" t="s">
        <v>54</v>
      </c>
      <c r="U19" s="2" t="s">
        <v>54</v>
      </c>
      <c r="V19" s="3"/>
      <c r="W19" s="3"/>
      <c r="X19" s="3"/>
      <c r="Y19" s="3">
        <v>1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2" t="s">
        <v>52</v>
      </c>
      <c r="AT19" s="3"/>
      <c r="AU19" s="2" t="s">
        <v>52</v>
      </c>
      <c r="AV19" s="2" t="s">
        <v>52</v>
      </c>
      <c r="AW19" s="2" t="s">
        <v>107</v>
      </c>
      <c r="AX19" s="3">
        <v>16</v>
      </c>
      <c r="AY19" s="3"/>
    </row>
    <row r="20" spans="1:51" ht="30" customHeight="1">
      <c r="A20" s="8" t="s">
        <v>108</v>
      </c>
      <c r="B20" s="8" t="s">
        <v>109</v>
      </c>
      <c r="C20" s="8" t="s">
        <v>58</v>
      </c>
      <c r="D20" s="9">
        <v>2</v>
      </c>
      <c r="E20" s="10">
        <f>TRUNC(일위대가목록!E9,0)</f>
        <v>435199</v>
      </c>
      <c r="F20" s="10">
        <f t="shared" si="0"/>
        <v>870398</v>
      </c>
      <c r="G20" s="10">
        <f>TRUNC(일위대가목록!F9,0)</f>
        <v>5460357</v>
      </c>
      <c r="H20" s="10">
        <f t="shared" si="1"/>
        <v>10920714</v>
      </c>
      <c r="I20" s="10">
        <f>TRUNC(일위대가목록!G9,0)</f>
        <v>651904</v>
      </c>
      <c r="J20" s="10">
        <f t="shared" si="2"/>
        <v>1303808</v>
      </c>
      <c r="K20" s="10">
        <f t="shared" si="5"/>
        <v>6547460</v>
      </c>
      <c r="L20" s="10">
        <f t="shared" si="3"/>
        <v>13094920</v>
      </c>
      <c r="M20" s="8" t="s">
        <v>52</v>
      </c>
      <c r="N20" s="2" t="s">
        <v>110</v>
      </c>
      <c r="O20" s="2" t="s">
        <v>52</v>
      </c>
      <c r="P20" s="2" t="s">
        <v>52</v>
      </c>
      <c r="Q20" s="2" t="s">
        <v>98</v>
      </c>
      <c r="R20" s="2" t="s">
        <v>52</v>
      </c>
      <c r="S20" s="2" t="s">
        <v>60</v>
      </c>
      <c r="T20" s="2" t="s">
        <v>54</v>
      </c>
      <c r="U20" s="2" t="s">
        <v>54</v>
      </c>
      <c r="V20" s="3"/>
      <c r="W20" s="3"/>
      <c r="X20" s="3"/>
      <c r="Y20" s="3">
        <v>1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2" t="s">
        <v>52</v>
      </c>
      <c r="AT20" s="3"/>
      <c r="AU20" s="2" t="s">
        <v>52</v>
      </c>
      <c r="AV20" s="2" t="s">
        <v>52</v>
      </c>
      <c r="AW20" s="2" t="s">
        <v>111</v>
      </c>
      <c r="AX20" s="3">
        <v>17</v>
      </c>
      <c r="AY20" s="3"/>
    </row>
    <row r="21" spans="1:51" ht="30" customHeight="1">
      <c r="A21" s="8" t="s">
        <v>112</v>
      </c>
      <c r="B21" s="8" t="s">
        <v>113</v>
      </c>
      <c r="C21" s="8" t="s">
        <v>58</v>
      </c>
      <c r="D21" s="9">
        <v>1</v>
      </c>
      <c r="E21" s="10">
        <f>TRUNC(일위대가목록!E10,0)</f>
        <v>452302</v>
      </c>
      <c r="F21" s="10">
        <f t="shared" si="0"/>
        <v>452302</v>
      </c>
      <c r="G21" s="10">
        <f>TRUNC(일위대가목록!F10,0)</f>
        <v>6294035</v>
      </c>
      <c r="H21" s="10">
        <f t="shared" si="1"/>
        <v>6294035</v>
      </c>
      <c r="I21" s="10">
        <f>TRUNC(일위대가목록!G10,0)</f>
        <v>691439</v>
      </c>
      <c r="J21" s="10">
        <f t="shared" si="2"/>
        <v>691439</v>
      </c>
      <c r="K21" s="10">
        <f t="shared" si="5"/>
        <v>7437776</v>
      </c>
      <c r="L21" s="10">
        <f t="shared" si="3"/>
        <v>7437776</v>
      </c>
      <c r="M21" s="8" t="s">
        <v>52</v>
      </c>
      <c r="N21" s="2" t="s">
        <v>114</v>
      </c>
      <c r="O21" s="2" t="s">
        <v>52</v>
      </c>
      <c r="P21" s="2" t="s">
        <v>52</v>
      </c>
      <c r="Q21" s="2" t="s">
        <v>98</v>
      </c>
      <c r="R21" s="2" t="s">
        <v>52</v>
      </c>
      <c r="S21" s="2" t="s">
        <v>60</v>
      </c>
      <c r="T21" s="2" t="s">
        <v>54</v>
      </c>
      <c r="U21" s="2" t="s">
        <v>54</v>
      </c>
      <c r="V21" s="3"/>
      <c r="W21" s="3"/>
      <c r="X21" s="3"/>
      <c r="Y21" s="3">
        <v>1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2" t="s">
        <v>52</v>
      </c>
      <c r="AT21" s="3"/>
      <c r="AU21" s="2" t="s">
        <v>52</v>
      </c>
      <c r="AV21" s="2" t="s">
        <v>52</v>
      </c>
      <c r="AW21" s="2" t="s">
        <v>115</v>
      </c>
      <c r="AX21" s="3">
        <v>18</v>
      </c>
      <c r="AY21" s="3"/>
    </row>
    <row r="22" spans="1:51" ht="30" customHeight="1">
      <c r="A22" s="8" t="s">
        <v>116</v>
      </c>
      <c r="B22" s="8" t="s">
        <v>117</v>
      </c>
      <c r="C22" s="8" t="s">
        <v>74</v>
      </c>
      <c r="D22" s="9">
        <v>52.07</v>
      </c>
      <c r="E22" s="10">
        <f>TRUNC(단가대비표!O10,0)</f>
        <v>288000</v>
      </c>
      <c r="F22" s="10">
        <f t="shared" si="0"/>
        <v>14996160</v>
      </c>
      <c r="G22" s="10">
        <f>TRUNC(단가대비표!P10,0)</f>
        <v>0</v>
      </c>
      <c r="H22" s="10">
        <f t="shared" si="1"/>
        <v>0</v>
      </c>
      <c r="I22" s="10">
        <f>TRUNC(단가대비표!V10,0)</f>
        <v>0</v>
      </c>
      <c r="J22" s="10">
        <f t="shared" si="2"/>
        <v>0</v>
      </c>
      <c r="K22" s="10">
        <f t="shared" si="5"/>
        <v>288000</v>
      </c>
      <c r="L22" s="10">
        <f t="shared" si="3"/>
        <v>14996160</v>
      </c>
      <c r="M22" s="8" t="s">
        <v>52</v>
      </c>
      <c r="N22" s="2" t="s">
        <v>118</v>
      </c>
      <c r="O22" s="2" t="s">
        <v>52</v>
      </c>
      <c r="P22" s="2" t="s">
        <v>52</v>
      </c>
      <c r="Q22" s="2" t="s">
        <v>98</v>
      </c>
      <c r="R22" s="2" t="s">
        <v>52</v>
      </c>
      <c r="S22" s="2" t="s">
        <v>54</v>
      </c>
      <c r="T22" s="2" t="s">
        <v>54</v>
      </c>
      <c r="U22" s="2" t="s">
        <v>60</v>
      </c>
      <c r="V22" s="3"/>
      <c r="W22" s="3"/>
      <c r="X22" s="3"/>
      <c r="Y22" s="3">
        <v>1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2" t="s">
        <v>52</v>
      </c>
      <c r="AT22" s="3"/>
      <c r="AU22" s="2" t="s">
        <v>52</v>
      </c>
      <c r="AV22" s="2" t="s">
        <v>52</v>
      </c>
      <c r="AW22" s="2" t="s">
        <v>119</v>
      </c>
      <c r="AX22" s="3">
        <v>20</v>
      </c>
      <c r="AY22" s="3"/>
    </row>
    <row r="23" spans="1:51" ht="30" customHeight="1">
      <c r="A23" s="8" t="s">
        <v>120</v>
      </c>
      <c r="B23" s="8" t="s">
        <v>121</v>
      </c>
      <c r="C23" s="8" t="s">
        <v>74</v>
      </c>
      <c r="D23" s="9">
        <v>3.01</v>
      </c>
      <c r="E23" s="10">
        <f>TRUNC(단가대비표!O11,0)</f>
        <v>28000</v>
      </c>
      <c r="F23" s="10">
        <f t="shared" si="0"/>
        <v>84280</v>
      </c>
      <c r="G23" s="10">
        <f>TRUNC(단가대비표!P11,0)</f>
        <v>0</v>
      </c>
      <c r="H23" s="10">
        <f t="shared" si="1"/>
        <v>0</v>
      </c>
      <c r="I23" s="10">
        <f>TRUNC(단가대비표!V11,0)</f>
        <v>0</v>
      </c>
      <c r="J23" s="10">
        <f t="shared" si="2"/>
        <v>0</v>
      </c>
      <c r="K23" s="10">
        <f t="shared" si="5"/>
        <v>28000</v>
      </c>
      <c r="L23" s="10">
        <f t="shared" si="3"/>
        <v>84280</v>
      </c>
      <c r="M23" s="8" t="s">
        <v>52</v>
      </c>
      <c r="N23" s="2" t="s">
        <v>122</v>
      </c>
      <c r="O23" s="2" t="s">
        <v>52</v>
      </c>
      <c r="P23" s="2" t="s">
        <v>52</v>
      </c>
      <c r="Q23" s="2" t="s">
        <v>98</v>
      </c>
      <c r="R23" s="2" t="s">
        <v>52</v>
      </c>
      <c r="S23" s="2" t="s">
        <v>54</v>
      </c>
      <c r="T23" s="2" t="s">
        <v>54</v>
      </c>
      <c r="U23" s="2" t="s">
        <v>60</v>
      </c>
      <c r="V23" s="3"/>
      <c r="W23" s="3"/>
      <c r="X23" s="3"/>
      <c r="Y23" s="3">
        <v>1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2" t="s">
        <v>52</v>
      </c>
      <c r="AT23" s="3"/>
      <c r="AU23" s="2" t="s">
        <v>52</v>
      </c>
      <c r="AV23" s="2" t="s">
        <v>52</v>
      </c>
      <c r="AW23" s="2" t="s">
        <v>123</v>
      </c>
      <c r="AX23" s="3">
        <v>21</v>
      </c>
      <c r="AY23" s="3"/>
    </row>
    <row r="24" spans="1:51" ht="30" customHeight="1">
      <c r="A24" s="8" t="s">
        <v>124</v>
      </c>
      <c r="B24" s="8" t="s">
        <v>52</v>
      </c>
      <c r="C24" s="8" t="s">
        <v>74</v>
      </c>
      <c r="D24" s="9">
        <v>38.49</v>
      </c>
      <c r="E24" s="10">
        <f>TRUNC(단가대비표!O14,0)</f>
        <v>45800</v>
      </c>
      <c r="F24" s="10">
        <f t="shared" si="0"/>
        <v>1762842</v>
      </c>
      <c r="G24" s="10">
        <f>TRUNC(단가대비표!P14,0)</f>
        <v>0</v>
      </c>
      <c r="H24" s="10">
        <f t="shared" si="1"/>
        <v>0</v>
      </c>
      <c r="I24" s="10">
        <f>TRUNC(단가대비표!V14,0)</f>
        <v>0</v>
      </c>
      <c r="J24" s="10">
        <f t="shared" si="2"/>
        <v>0</v>
      </c>
      <c r="K24" s="10">
        <f t="shared" si="5"/>
        <v>45800</v>
      </c>
      <c r="L24" s="10">
        <f t="shared" si="3"/>
        <v>1762842</v>
      </c>
      <c r="M24" s="8" t="s">
        <v>52</v>
      </c>
      <c r="N24" s="2" t="s">
        <v>125</v>
      </c>
      <c r="O24" s="2" t="s">
        <v>52</v>
      </c>
      <c r="P24" s="2" t="s">
        <v>52</v>
      </c>
      <c r="Q24" s="2" t="s">
        <v>98</v>
      </c>
      <c r="R24" s="2" t="s">
        <v>52</v>
      </c>
      <c r="S24" s="2" t="s">
        <v>54</v>
      </c>
      <c r="T24" s="2" t="s">
        <v>54</v>
      </c>
      <c r="U24" s="2" t="s">
        <v>60</v>
      </c>
      <c r="V24" s="3"/>
      <c r="W24" s="3"/>
      <c r="X24" s="3"/>
      <c r="Y24" s="3">
        <v>1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2" t="s">
        <v>52</v>
      </c>
      <c r="AT24" s="3"/>
      <c r="AU24" s="2" t="s">
        <v>52</v>
      </c>
      <c r="AV24" s="2" t="s">
        <v>52</v>
      </c>
      <c r="AW24" s="2" t="s">
        <v>126</v>
      </c>
      <c r="AX24" s="3">
        <v>22</v>
      </c>
      <c r="AY24" s="3"/>
    </row>
    <row r="25" spans="1:51" ht="30" customHeight="1">
      <c r="A25" s="8" t="s">
        <v>127</v>
      </c>
      <c r="B25" s="8" t="s">
        <v>52</v>
      </c>
      <c r="C25" s="8" t="s">
        <v>105</v>
      </c>
      <c r="D25" s="9">
        <v>143.19999999999999</v>
      </c>
      <c r="E25" s="10">
        <f>TRUNC(일위대가목록!E11,0)</f>
        <v>1200</v>
      </c>
      <c r="F25" s="10">
        <f t="shared" si="0"/>
        <v>171840</v>
      </c>
      <c r="G25" s="10">
        <f>TRUNC(일위대가목록!F11,0)</f>
        <v>2767</v>
      </c>
      <c r="H25" s="10">
        <f t="shared" si="1"/>
        <v>396234</v>
      </c>
      <c r="I25" s="10">
        <f>TRUNC(일위대가목록!G11,0)</f>
        <v>0</v>
      </c>
      <c r="J25" s="10">
        <f t="shared" si="2"/>
        <v>0</v>
      </c>
      <c r="K25" s="10">
        <f t="shared" si="5"/>
        <v>3967</v>
      </c>
      <c r="L25" s="10">
        <f t="shared" si="3"/>
        <v>568074</v>
      </c>
      <c r="M25" s="8" t="s">
        <v>52</v>
      </c>
      <c r="N25" s="2" t="s">
        <v>128</v>
      </c>
      <c r="O25" s="2" t="s">
        <v>52</v>
      </c>
      <c r="P25" s="2" t="s">
        <v>52</v>
      </c>
      <c r="Q25" s="2" t="s">
        <v>98</v>
      </c>
      <c r="R25" s="2" t="s">
        <v>52</v>
      </c>
      <c r="S25" s="2" t="s">
        <v>60</v>
      </c>
      <c r="T25" s="2" t="s">
        <v>54</v>
      </c>
      <c r="U25" s="2" t="s">
        <v>54</v>
      </c>
      <c r="V25" s="3"/>
      <c r="W25" s="3"/>
      <c r="X25" s="3"/>
      <c r="Y25" s="3">
        <v>1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2" t="s">
        <v>52</v>
      </c>
      <c r="AT25" s="3"/>
      <c r="AU25" s="2" t="s">
        <v>52</v>
      </c>
      <c r="AV25" s="2" t="s">
        <v>52</v>
      </c>
      <c r="AW25" s="2" t="s">
        <v>129</v>
      </c>
      <c r="AX25" s="3">
        <v>39</v>
      </c>
      <c r="AY25" s="3"/>
    </row>
    <row r="26" spans="1:51" ht="30" customHeight="1">
      <c r="A26" s="8" t="s">
        <v>130</v>
      </c>
      <c r="B26" s="8" t="s">
        <v>52</v>
      </c>
      <c r="C26" s="8" t="s">
        <v>131</v>
      </c>
      <c r="D26" s="9">
        <v>147.5</v>
      </c>
      <c r="E26" s="10">
        <f>TRUNC(단가대비표!O46,0)</f>
        <v>12000</v>
      </c>
      <c r="F26" s="10">
        <f t="shared" si="0"/>
        <v>1770000</v>
      </c>
      <c r="G26" s="10">
        <f>TRUNC(단가대비표!P46,0)</f>
        <v>0</v>
      </c>
      <c r="H26" s="10">
        <f t="shared" si="1"/>
        <v>0</v>
      </c>
      <c r="I26" s="10">
        <f>TRUNC(단가대비표!V46,0)</f>
        <v>0</v>
      </c>
      <c r="J26" s="10">
        <f t="shared" si="2"/>
        <v>0</v>
      </c>
      <c r="K26" s="10">
        <f t="shared" si="5"/>
        <v>12000</v>
      </c>
      <c r="L26" s="10">
        <f t="shared" si="3"/>
        <v>1770000</v>
      </c>
      <c r="M26" s="8" t="s">
        <v>52</v>
      </c>
      <c r="N26" s="2" t="s">
        <v>132</v>
      </c>
      <c r="O26" s="2" t="s">
        <v>52</v>
      </c>
      <c r="P26" s="2" t="s">
        <v>52</v>
      </c>
      <c r="Q26" s="2" t="s">
        <v>98</v>
      </c>
      <c r="R26" s="2" t="s">
        <v>52</v>
      </c>
      <c r="S26" s="2" t="s">
        <v>54</v>
      </c>
      <c r="T26" s="2" t="s">
        <v>54</v>
      </c>
      <c r="U26" s="2" t="s">
        <v>60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2" t="s">
        <v>52</v>
      </c>
      <c r="AT26" s="3"/>
      <c r="AU26" s="2" t="s">
        <v>52</v>
      </c>
      <c r="AV26" s="2" t="s">
        <v>52</v>
      </c>
      <c r="AW26" s="2" t="s">
        <v>133</v>
      </c>
      <c r="AX26" s="3">
        <v>40</v>
      </c>
      <c r="AY26" s="3"/>
    </row>
    <row r="27" spans="1:51" ht="30" customHeight="1">
      <c r="A27" s="8" t="s">
        <v>92</v>
      </c>
      <c r="B27" s="8" t="s">
        <v>93</v>
      </c>
      <c r="C27" s="8" t="s">
        <v>94</v>
      </c>
      <c r="D27" s="9">
        <v>1</v>
      </c>
      <c r="E27" s="10">
        <v>0</v>
      </c>
      <c r="F27" s="10">
        <f t="shared" si="0"/>
        <v>0</v>
      </c>
      <c r="G27" s="10">
        <f>ROUNDDOWN(SUMIF(Y18:Y27, RIGHTB(N27, 1), H18:H27)*X27, 0)</f>
        <v>3982687</v>
      </c>
      <c r="H27" s="10">
        <f t="shared" si="1"/>
        <v>3982687</v>
      </c>
      <c r="I27" s="10">
        <v>0</v>
      </c>
      <c r="J27" s="10">
        <f t="shared" si="2"/>
        <v>0</v>
      </c>
      <c r="K27" s="10">
        <f t="shared" si="5"/>
        <v>3982687</v>
      </c>
      <c r="L27" s="10">
        <f t="shared" si="3"/>
        <v>3982687</v>
      </c>
      <c r="M27" s="8" t="s">
        <v>52</v>
      </c>
      <c r="N27" s="2" t="s">
        <v>95</v>
      </c>
      <c r="O27" s="2" t="s">
        <v>52</v>
      </c>
      <c r="P27" s="2" t="s">
        <v>52</v>
      </c>
      <c r="Q27" s="2" t="s">
        <v>98</v>
      </c>
      <c r="R27" s="2" t="s">
        <v>52</v>
      </c>
      <c r="S27" s="2" t="s">
        <v>54</v>
      </c>
      <c r="T27" s="2" t="s">
        <v>54</v>
      </c>
      <c r="U27" s="2" t="s">
        <v>54</v>
      </c>
      <c r="V27" s="3">
        <v>1</v>
      </c>
      <c r="W27" s="3">
        <v>1</v>
      </c>
      <c r="X27" s="3">
        <v>0.1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" t="s">
        <v>52</v>
      </c>
      <c r="AT27" s="3"/>
      <c r="AU27" s="2" t="s">
        <v>52</v>
      </c>
      <c r="AV27" s="2" t="s">
        <v>52</v>
      </c>
      <c r="AW27" s="2" t="s">
        <v>134</v>
      </c>
      <c r="AX27" s="3">
        <v>38</v>
      </c>
      <c r="AY27" s="3"/>
    </row>
    <row r="28" spans="1:51" ht="30" customHeight="1">
      <c r="A28" s="8" t="s">
        <v>135</v>
      </c>
      <c r="B28" s="8" t="s">
        <v>52</v>
      </c>
      <c r="C28" s="8" t="s">
        <v>52</v>
      </c>
      <c r="D28" s="9">
        <v>1</v>
      </c>
      <c r="E28" s="10">
        <f>SUM(F29:F34)</f>
        <v>0</v>
      </c>
      <c r="F28" s="10">
        <f t="shared" si="0"/>
        <v>0</v>
      </c>
      <c r="G28" s="10">
        <f>SUM(H29:H34)</f>
        <v>0</v>
      </c>
      <c r="H28" s="10">
        <f t="shared" si="1"/>
        <v>0</v>
      </c>
      <c r="I28" s="10">
        <f>SUM(J29:J34)</f>
        <v>303820005</v>
      </c>
      <c r="J28" s="10">
        <f t="shared" si="2"/>
        <v>303820005</v>
      </c>
      <c r="K28" s="10">
        <f>SUM(L29:L34)</f>
        <v>303820005</v>
      </c>
      <c r="L28" s="10">
        <f t="shared" si="3"/>
        <v>303820005</v>
      </c>
      <c r="M28" s="8" t="s">
        <v>52</v>
      </c>
      <c r="N28" s="2" t="s">
        <v>52</v>
      </c>
      <c r="O28" s="2" t="s">
        <v>52</v>
      </c>
      <c r="P28" s="2" t="s">
        <v>52</v>
      </c>
      <c r="Q28" s="2" t="s">
        <v>136</v>
      </c>
      <c r="R28" s="2" t="s">
        <v>53</v>
      </c>
      <c r="S28" s="2" t="s">
        <v>54</v>
      </c>
      <c r="T28" s="2" t="s">
        <v>54</v>
      </c>
      <c r="U28" s="2" t="s">
        <v>54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" t="s">
        <v>52</v>
      </c>
      <c r="AT28" s="3">
        <v>2</v>
      </c>
      <c r="AU28" s="2" t="s">
        <v>52</v>
      </c>
      <c r="AV28" s="2" t="s">
        <v>52</v>
      </c>
      <c r="AW28" s="2" t="s">
        <v>136</v>
      </c>
      <c r="AX28" s="3">
        <v>5</v>
      </c>
      <c r="AY28" s="3"/>
    </row>
    <row r="29" spans="1:51" ht="30" customHeight="1">
      <c r="A29" s="8" t="s">
        <v>137</v>
      </c>
      <c r="B29" s="8" t="s">
        <v>52</v>
      </c>
      <c r="C29" s="8" t="s">
        <v>138</v>
      </c>
      <c r="D29" s="9">
        <v>334.65</v>
      </c>
      <c r="E29" s="10">
        <f>TRUNC(중기단가목록!E9,0)</f>
        <v>0</v>
      </c>
      <c r="F29" s="10">
        <f t="shared" si="0"/>
        <v>0</v>
      </c>
      <c r="G29" s="10">
        <f>TRUNC(중기단가목록!F9,0)</f>
        <v>0</v>
      </c>
      <c r="H29" s="10">
        <f t="shared" si="1"/>
        <v>0</v>
      </c>
      <c r="I29" s="10">
        <f>TRUNC(중기단가목록!G9,0)</f>
        <v>14365</v>
      </c>
      <c r="J29" s="10">
        <f t="shared" si="2"/>
        <v>4807247</v>
      </c>
      <c r="K29" s="10">
        <f t="shared" ref="K29:K34" si="6">TRUNC(E29+G29+I29, 0)</f>
        <v>14365</v>
      </c>
      <c r="L29" s="10">
        <f t="shared" si="3"/>
        <v>4807247</v>
      </c>
      <c r="M29" s="8" t="s">
        <v>52</v>
      </c>
      <c r="N29" s="2" t="s">
        <v>139</v>
      </c>
      <c r="O29" s="2" t="s">
        <v>52</v>
      </c>
      <c r="P29" s="2" t="s">
        <v>52</v>
      </c>
      <c r="Q29" s="2" t="s">
        <v>136</v>
      </c>
      <c r="R29" s="2" t="s">
        <v>52</v>
      </c>
      <c r="S29" s="2" t="s">
        <v>54</v>
      </c>
      <c r="T29" s="2" t="s">
        <v>60</v>
      </c>
      <c r="U29" s="2" t="s">
        <v>54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2" t="s">
        <v>52</v>
      </c>
      <c r="AT29" s="3"/>
      <c r="AU29" s="2" t="s">
        <v>52</v>
      </c>
      <c r="AV29" s="2" t="s">
        <v>52</v>
      </c>
      <c r="AW29" s="2" t="s">
        <v>140</v>
      </c>
      <c r="AX29" s="3">
        <v>24</v>
      </c>
      <c r="AY29" s="3"/>
    </row>
    <row r="30" spans="1:51" ht="30" customHeight="1">
      <c r="A30" s="8" t="s">
        <v>141</v>
      </c>
      <c r="B30" s="8" t="s">
        <v>52</v>
      </c>
      <c r="C30" s="8" t="s">
        <v>138</v>
      </c>
      <c r="D30" s="9">
        <v>334.65</v>
      </c>
      <c r="E30" s="10">
        <f>TRUNC(단가대비표!O32,0)</f>
        <v>0</v>
      </c>
      <c r="F30" s="10">
        <f t="shared" si="0"/>
        <v>0</v>
      </c>
      <c r="G30" s="10">
        <f>TRUNC(단가대비표!P32,0)</f>
        <v>0</v>
      </c>
      <c r="H30" s="10">
        <f t="shared" si="1"/>
        <v>0</v>
      </c>
      <c r="I30" s="10">
        <f>TRUNC(단가대비표!V32,0)</f>
        <v>4734</v>
      </c>
      <c r="J30" s="10">
        <f t="shared" si="2"/>
        <v>1584233</v>
      </c>
      <c r="K30" s="10">
        <f t="shared" si="6"/>
        <v>4734</v>
      </c>
      <c r="L30" s="10">
        <f t="shared" si="3"/>
        <v>1584233</v>
      </c>
      <c r="M30" s="8" t="s">
        <v>52</v>
      </c>
      <c r="N30" s="2" t="s">
        <v>142</v>
      </c>
      <c r="O30" s="2" t="s">
        <v>52</v>
      </c>
      <c r="P30" s="2" t="s">
        <v>52</v>
      </c>
      <c r="Q30" s="2" t="s">
        <v>136</v>
      </c>
      <c r="R30" s="2" t="s">
        <v>52</v>
      </c>
      <c r="S30" s="2" t="s">
        <v>54</v>
      </c>
      <c r="T30" s="2" t="s">
        <v>54</v>
      </c>
      <c r="U30" s="2" t="s">
        <v>60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2" t="s">
        <v>52</v>
      </c>
      <c r="AT30" s="3"/>
      <c r="AU30" s="2" t="s">
        <v>52</v>
      </c>
      <c r="AV30" s="2" t="s">
        <v>52</v>
      </c>
      <c r="AW30" s="2" t="s">
        <v>143</v>
      </c>
      <c r="AX30" s="3">
        <v>25</v>
      </c>
      <c r="AY30" s="3"/>
    </row>
    <row r="31" spans="1:51" ht="30" customHeight="1">
      <c r="A31" s="8" t="s">
        <v>144</v>
      </c>
      <c r="B31" s="8" t="s">
        <v>52</v>
      </c>
      <c r="C31" s="8" t="s">
        <v>138</v>
      </c>
      <c r="D31" s="9">
        <v>334.65</v>
      </c>
      <c r="E31" s="10">
        <f>TRUNC(단가대비표!O33,0)</f>
        <v>0</v>
      </c>
      <c r="F31" s="10">
        <f t="shared" si="0"/>
        <v>0</v>
      </c>
      <c r="G31" s="10">
        <f>TRUNC(단가대비표!P33,0)</f>
        <v>0</v>
      </c>
      <c r="H31" s="10">
        <f t="shared" si="1"/>
        <v>0</v>
      </c>
      <c r="I31" s="10">
        <f>TRUNC(단가대비표!V33,0)</f>
        <v>4734</v>
      </c>
      <c r="J31" s="10">
        <f t="shared" si="2"/>
        <v>1584233</v>
      </c>
      <c r="K31" s="10">
        <f t="shared" si="6"/>
        <v>4734</v>
      </c>
      <c r="L31" s="10">
        <f t="shared" si="3"/>
        <v>1584233</v>
      </c>
      <c r="M31" s="8" t="s">
        <v>52</v>
      </c>
      <c r="N31" s="2" t="s">
        <v>145</v>
      </c>
      <c r="O31" s="2" t="s">
        <v>52</v>
      </c>
      <c r="P31" s="2" t="s">
        <v>52</v>
      </c>
      <c r="Q31" s="2" t="s">
        <v>136</v>
      </c>
      <c r="R31" s="2" t="s">
        <v>52</v>
      </c>
      <c r="S31" s="2" t="s">
        <v>54</v>
      </c>
      <c r="T31" s="2" t="s">
        <v>54</v>
      </c>
      <c r="U31" s="2" t="s">
        <v>60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2" t="s">
        <v>52</v>
      </c>
      <c r="AT31" s="3"/>
      <c r="AU31" s="2" t="s">
        <v>52</v>
      </c>
      <c r="AV31" s="2" t="s">
        <v>52</v>
      </c>
      <c r="AW31" s="2" t="s">
        <v>146</v>
      </c>
      <c r="AX31" s="3">
        <v>26</v>
      </c>
      <c r="AY31" s="3"/>
    </row>
    <row r="32" spans="1:51" ht="30" customHeight="1">
      <c r="A32" s="8" t="s">
        <v>147</v>
      </c>
      <c r="B32" s="8" t="s">
        <v>147</v>
      </c>
      <c r="C32" s="8" t="s">
        <v>148</v>
      </c>
      <c r="D32" s="9">
        <v>6</v>
      </c>
      <c r="E32" s="10">
        <f>TRUNC(단가대비표!O43,0)</f>
        <v>0</v>
      </c>
      <c r="F32" s="10">
        <f t="shared" si="0"/>
        <v>0</v>
      </c>
      <c r="G32" s="10">
        <f>TRUNC(단가대비표!P43,0)</f>
        <v>0</v>
      </c>
      <c r="H32" s="10">
        <f t="shared" si="1"/>
        <v>0</v>
      </c>
      <c r="I32" s="10">
        <f>TRUNC(단가대비표!V43,0)</f>
        <v>5200000</v>
      </c>
      <c r="J32" s="10">
        <f t="shared" si="2"/>
        <v>31200000</v>
      </c>
      <c r="K32" s="10">
        <f t="shared" si="6"/>
        <v>5200000</v>
      </c>
      <c r="L32" s="10">
        <f t="shared" si="3"/>
        <v>31200000</v>
      </c>
      <c r="M32" s="8" t="s">
        <v>52</v>
      </c>
      <c r="N32" s="2" t="s">
        <v>149</v>
      </c>
      <c r="O32" s="2" t="s">
        <v>52</v>
      </c>
      <c r="P32" s="2" t="s">
        <v>52</v>
      </c>
      <c r="Q32" s="2" t="s">
        <v>136</v>
      </c>
      <c r="R32" s="2" t="s">
        <v>52</v>
      </c>
      <c r="S32" s="2" t="s">
        <v>54</v>
      </c>
      <c r="T32" s="2" t="s">
        <v>54</v>
      </c>
      <c r="U32" s="2" t="s">
        <v>60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2" t="s">
        <v>52</v>
      </c>
      <c r="AT32" s="3"/>
      <c r="AU32" s="2" t="s">
        <v>52</v>
      </c>
      <c r="AV32" s="2" t="s">
        <v>52</v>
      </c>
      <c r="AW32" s="2" t="s">
        <v>150</v>
      </c>
      <c r="AX32" s="3">
        <v>27</v>
      </c>
      <c r="AY32" s="3"/>
    </row>
    <row r="33" spans="1:51" ht="30" customHeight="1">
      <c r="A33" s="8" t="s">
        <v>151</v>
      </c>
      <c r="B33" s="8" t="s">
        <v>52</v>
      </c>
      <c r="C33" s="8" t="s">
        <v>138</v>
      </c>
      <c r="D33" s="9">
        <v>334.65</v>
      </c>
      <c r="E33" s="10">
        <f>TRUNC(단가대비표!O44,0)</f>
        <v>0</v>
      </c>
      <c r="F33" s="10">
        <f t="shared" si="0"/>
        <v>0</v>
      </c>
      <c r="G33" s="10">
        <f>TRUNC(단가대비표!P44,0)</f>
        <v>0</v>
      </c>
      <c r="H33" s="10">
        <f t="shared" si="1"/>
        <v>0</v>
      </c>
      <c r="I33" s="10">
        <f>TRUNC(단가대비표!V44,0)</f>
        <v>772880</v>
      </c>
      <c r="J33" s="10">
        <f t="shared" si="2"/>
        <v>258644292</v>
      </c>
      <c r="K33" s="10">
        <f t="shared" si="6"/>
        <v>772880</v>
      </c>
      <c r="L33" s="10">
        <f t="shared" si="3"/>
        <v>258644292</v>
      </c>
      <c r="M33" s="8" t="s">
        <v>52</v>
      </c>
      <c r="N33" s="2" t="s">
        <v>152</v>
      </c>
      <c r="O33" s="2" t="s">
        <v>52</v>
      </c>
      <c r="P33" s="2" t="s">
        <v>52</v>
      </c>
      <c r="Q33" s="2" t="s">
        <v>136</v>
      </c>
      <c r="R33" s="2" t="s">
        <v>52</v>
      </c>
      <c r="S33" s="2" t="s">
        <v>54</v>
      </c>
      <c r="T33" s="2" t="s">
        <v>54</v>
      </c>
      <c r="U33" s="2" t="s">
        <v>60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2" t="s">
        <v>52</v>
      </c>
      <c r="AT33" s="3"/>
      <c r="AU33" s="2" t="s">
        <v>52</v>
      </c>
      <c r="AV33" s="2" t="s">
        <v>52</v>
      </c>
      <c r="AW33" s="2" t="s">
        <v>153</v>
      </c>
      <c r="AX33" s="3">
        <v>28</v>
      </c>
      <c r="AY33" s="3"/>
    </row>
    <row r="34" spans="1:51" ht="30" customHeight="1">
      <c r="A34" s="8" t="s">
        <v>154</v>
      </c>
      <c r="B34" s="8" t="s">
        <v>52</v>
      </c>
      <c r="C34" s="8" t="s">
        <v>148</v>
      </c>
      <c r="D34" s="9">
        <v>6</v>
      </c>
      <c r="E34" s="10">
        <f>TRUNC(단가대비표!O45,0)</f>
        <v>0</v>
      </c>
      <c r="F34" s="10">
        <f t="shared" si="0"/>
        <v>0</v>
      </c>
      <c r="G34" s="10">
        <f>TRUNC(단가대비표!P45,0)</f>
        <v>0</v>
      </c>
      <c r="H34" s="10">
        <f t="shared" si="1"/>
        <v>0</v>
      </c>
      <c r="I34" s="10">
        <f>TRUNC(단가대비표!V45,0)</f>
        <v>1000000</v>
      </c>
      <c r="J34" s="10">
        <f t="shared" si="2"/>
        <v>6000000</v>
      </c>
      <c r="K34" s="10">
        <f t="shared" si="6"/>
        <v>1000000</v>
      </c>
      <c r="L34" s="10">
        <f t="shared" si="3"/>
        <v>6000000</v>
      </c>
      <c r="M34" s="8" t="s">
        <v>52</v>
      </c>
      <c r="N34" s="2" t="s">
        <v>155</v>
      </c>
      <c r="O34" s="2" t="s">
        <v>52</v>
      </c>
      <c r="P34" s="2" t="s">
        <v>52</v>
      </c>
      <c r="Q34" s="2" t="s">
        <v>136</v>
      </c>
      <c r="R34" s="2" t="s">
        <v>52</v>
      </c>
      <c r="S34" s="2" t="s">
        <v>54</v>
      </c>
      <c r="T34" s="2" t="s">
        <v>54</v>
      </c>
      <c r="U34" s="2" t="s">
        <v>60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2" t="s">
        <v>52</v>
      </c>
      <c r="AT34" s="3"/>
      <c r="AU34" s="2" t="s">
        <v>52</v>
      </c>
      <c r="AV34" s="2" t="s">
        <v>52</v>
      </c>
      <c r="AW34" s="2" t="s">
        <v>156</v>
      </c>
      <c r="AX34" s="3">
        <v>29</v>
      </c>
      <c r="AY34" s="3"/>
    </row>
    <row r="35" spans="1:51" ht="30" customHeight="1">
      <c r="A35" s="8" t="s">
        <v>157</v>
      </c>
      <c r="B35" s="8" t="s">
        <v>52</v>
      </c>
      <c r="C35" s="8" t="s">
        <v>52</v>
      </c>
      <c r="D35" s="9">
        <v>1</v>
      </c>
      <c r="E35" s="10">
        <f>SUM(F36:F36)</f>
        <v>50000</v>
      </c>
      <c r="F35" s="10">
        <f t="shared" si="0"/>
        <v>50000</v>
      </c>
      <c r="G35" s="10">
        <f>SUM(H36:H36)</f>
        <v>0</v>
      </c>
      <c r="H35" s="10">
        <f t="shared" si="1"/>
        <v>0</v>
      </c>
      <c r="I35" s="10">
        <f>SUM(J36:J36)</f>
        <v>302580</v>
      </c>
      <c r="J35" s="10">
        <f t="shared" si="2"/>
        <v>302580</v>
      </c>
      <c r="K35" s="10">
        <f>SUM(L36:L36)</f>
        <v>352580</v>
      </c>
      <c r="L35" s="10">
        <f t="shared" si="3"/>
        <v>352580</v>
      </c>
      <c r="M35" s="8" t="s">
        <v>52</v>
      </c>
      <c r="N35" s="2" t="s">
        <v>52</v>
      </c>
      <c r="O35" s="2" t="s">
        <v>52</v>
      </c>
      <c r="P35" s="2" t="s">
        <v>52</v>
      </c>
      <c r="Q35" s="2" t="s">
        <v>158</v>
      </c>
      <c r="R35" s="2" t="s">
        <v>53</v>
      </c>
      <c r="S35" s="2" t="s">
        <v>54</v>
      </c>
      <c r="T35" s="2" t="s">
        <v>54</v>
      </c>
      <c r="U35" s="2" t="s">
        <v>54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2" t="s">
        <v>52</v>
      </c>
      <c r="AT35" s="3">
        <v>2</v>
      </c>
      <c r="AU35" s="2" t="s">
        <v>52</v>
      </c>
      <c r="AV35" s="2" t="s">
        <v>52</v>
      </c>
      <c r="AW35" s="2" t="s">
        <v>158</v>
      </c>
      <c r="AX35" s="3">
        <v>30</v>
      </c>
      <c r="AY35" s="3"/>
    </row>
    <row r="36" spans="1:51" ht="30" customHeight="1">
      <c r="A36" s="8" t="s">
        <v>159</v>
      </c>
      <c r="B36" s="8" t="s">
        <v>160</v>
      </c>
      <c r="C36" s="8" t="s">
        <v>161</v>
      </c>
      <c r="D36" s="9">
        <v>10</v>
      </c>
      <c r="E36" s="10">
        <f>TRUNC(일위대가목록!E12,0)</f>
        <v>5000</v>
      </c>
      <c r="F36" s="10">
        <f t="shared" si="0"/>
        <v>50000</v>
      </c>
      <c r="G36" s="10">
        <f>TRUNC(일위대가목록!F12,0)</f>
        <v>0</v>
      </c>
      <c r="H36" s="10">
        <f t="shared" si="1"/>
        <v>0</v>
      </c>
      <c r="I36" s="10">
        <f>TRUNC(일위대가목록!G12,0)</f>
        <v>30258</v>
      </c>
      <c r="J36" s="10">
        <f t="shared" si="2"/>
        <v>302580</v>
      </c>
      <c r="K36" s="10">
        <f>TRUNC(E36+G36+I36, 0)</f>
        <v>35258</v>
      </c>
      <c r="L36" s="10">
        <f t="shared" si="3"/>
        <v>352580</v>
      </c>
      <c r="M36" s="8" t="s">
        <v>52</v>
      </c>
      <c r="N36" s="2" t="s">
        <v>162</v>
      </c>
      <c r="O36" s="2" t="s">
        <v>52</v>
      </c>
      <c r="P36" s="2" t="s">
        <v>52</v>
      </c>
      <c r="Q36" s="2" t="s">
        <v>158</v>
      </c>
      <c r="R36" s="2" t="s">
        <v>52</v>
      </c>
      <c r="S36" s="2" t="s">
        <v>60</v>
      </c>
      <c r="T36" s="2" t="s">
        <v>54</v>
      </c>
      <c r="U36" s="2" t="s">
        <v>54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2" t="s">
        <v>52</v>
      </c>
      <c r="AT36" s="3"/>
      <c r="AU36" s="2" t="s">
        <v>52</v>
      </c>
      <c r="AV36" s="2" t="s">
        <v>52</v>
      </c>
      <c r="AW36" s="2" t="s">
        <v>163</v>
      </c>
      <c r="AX36" s="3">
        <v>36</v>
      </c>
      <c r="AY36" s="3"/>
    </row>
  </sheetData>
  <mergeCells count="48">
    <mergeCell ref="AX3:AX4"/>
    <mergeCell ref="AY3:AY4"/>
    <mergeCell ref="AR3:AR4"/>
    <mergeCell ref="AS3:AS4"/>
    <mergeCell ref="AT3:AT4"/>
    <mergeCell ref="AU3:AU4"/>
    <mergeCell ref="AV3:AV4"/>
    <mergeCell ref="AW3:AW4"/>
    <mergeCell ref="AQ3:AQ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E3:AE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S3:S4"/>
    <mergeCell ref="A1:M1"/>
    <mergeCell ref="A3:A4"/>
    <mergeCell ref="B3:B4"/>
    <mergeCell ref="C3:C4"/>
    <mergeCell ref="D3:D4"/>
    <mergeCell ref="E3:F3"/>
    <mergeCell ref="G3:H3"/>
    <mergeCell ref="I3:J3"/>
    <mergeCell ref="K3:L3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B1" zoomScale="85" zoomScaleNormal="85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285" t="s">
        <v>164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4" ht="30" customHeight="1">
      <c r="A2" s="287" t="s">
        <v>1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4" ht="30" customHeight="1">
      <c r="A3" s="6" t="s">
        <v>165</v>
      </c>
      <c r="B3" s="6" t="s">
        <v>2</v>
      </c>
      <c r="C3" s="6" t="s">
        <v>3</v>
      </c>
      <c r="D3" s="6" t="s">
        <v>4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  <c r="J3" s="6" t="s">
        <v>171</v>
      </c>
      <c r="K3" s="1" t="s">
        <v>172</v>
      </c>
      <c r="L3" s="1" t="s">
        <v>173</v>
      </c>
      <c r="M3" s="1" t="s">
        <v>174</v>
      </c>
      <c r="N3" s="1" t="s">
        <v>175</v>
      </c>
    </row>
    <row r="4" spans="1:14" ht="30" customHeight="1">
      <c r="A4" s="8" t="s">
        <v>59</v>
      </c>
      <c r="B4" s="249" t="s">
        <v>57</v>
      </c>
      <c r="C4" s="249" t="s">
        <v>52</v>
      </c>
      <c r="D4" s="249" t="s">
        <v>58</v>
      </c>
      <c r="E4" s="250">
        <f>일위대가!F10</f>
        <v>18727</v>
      </c>
      <c r="F4" s="250">
        <f>일위대가!H10</f>
        <v>133706</v>
      </c>
      <c r="G4" s="250">
        <f>일위대가!J10</f>
        <v>0</v>
      </c>
      <c r="H4" s="250">
        <f t="shared" ref="H4:H29" si="0">E4+F4+G4</f>
        <v>152433</v>
      </c>
      <c r="I4" s="249" t="s">
        <v>185</v>
      </c>
      <c r="J4" s="249" t="s">
        <v>52</v>
      </c>
      <c r="K4" s="2" t="s">
        <v>52</v>
      </c>
      <c r="L4" s="2" t="s">
        <v>52</v>
      </c>
      <c r="M4" s="2" t="s">
        <v>52</v>
      </c>
      <c r="N4" s="2" t="s">
        <v>52</v>
      </c>
    </row>
    <row r="5" spans="1:14" ht="30" customHeight="1">
      <c r="A5" s="8" t="s">
        <v>67</v>
      </c>
      <c r="B5" s="249" t="s">
        <v>64</v>
      </c>
      <c r="C5" s="249" t="s">
        <v>65</v>
      </c>
      <c r="D5" s="249" t="s">
        <v>66</v>
      </c>
      <c r="E5" s="250">
        <f>일위대가!F16</f>
        <v>5115</v>
      </c>
      <c r="F5" s="250">
        <f>일위대가!H16</f>
        <v>74380</v>
      </c>
      <c r="G5" s="250">
        <f>일위대가!J16</f>
        <v>0</v>
      </c>
      <c r="H5" s="250">
        <f t="shared" si="0"/>
        <v>79495</v>
      </c>
      <c r="I5" s="249" t="s">
        <v>211</v>
      </c>
      <c r="J5" s="249" t="s">
        <v>212</v>
      </c>
      <c r="K5" s="2" t="s">
        <v>52</v>
      </c>
      <c r="L5" s="2" t="s">
        <v>52</v>
      </c>
      <c r="M5" s="2" t="s">
        <v>212</v>
      </c>
      <c r="N5" s="2" t="s">
        <v>52</v>
      </c>
    </row>
    <row r="6" spans="1:14" ht="30" customHeight="1">
      <c r="A6" s="8" t="s">
        <v>70</v>
      </c>
      <c r="B6" s="249" t="s">
        <v>64</v>
      </c>
      <c r="C6" s="249" t="s">
        <v>69</v>
      </c>
      <c r="D6" s="249" t="s">
        <v>66</v>
      </c>
      <c r="E6" s="250">
        <f>일위대가!F22</f>
        <v>8038</v>
      </c>
      <c r="F6" s="250">
        <f>일위대가!H22</f>
        <v>127913</v>
      </c>
      <c r="G6" s="250">
        <f>일위대가!J22</f>
        <v>0</v>
      </c>
      <c r="H6" s="250">
        <f t="shared" si="0"/>
        <v>135951</v>
      </c>
      <c r="I6" s="249" t="s">
        <v>219</v>
      </c>
      <c r="J6" s="249" t="s">
        <v>212</v>
      </c>
      <c r="K6" s="2" t="s">
        <v>52</v>
      </c>
      <c r="L6" s="2" t="s">
        <v>52</v>
      </c>
      <c r="M6" s="2" t="s">
        <v>212</v>
      </c>
      <c r="N6" s="2" t="s">
        <v>52</v>
      </c>
    </row>
    <row r="7" spans="1:14" ht="30" customHeight="1">
      <c r="A7" s="8" t="s">
        <v>102</v>
      </c>
      <c r="B7" s="8" t="s">
        <v>99</v>
      </c>
      <c r="C7" s="8" t="s">
        <v>100</v>
      </c>
      <c r="D7" s="8" t="s">
        <v>101</v>
      </c>
      <c r="E7" s="12">
        <f>일위대가!F29</f>
        <v>61843</v>
      </c>
      <c r="F7" s="12">
        <f>일위대가!H29</f>
        <v>721635</v>
      </c>
      <c r="G7" s="12">
        <f>일위대가!J29</f>
        <v>80275</v>
      </c>
      <c r="H7" s="12">
        <f t="shared" si="0"/>
        <v>863753</v>
      </c>
      <c r="I7" s="8" t="s">
        <v>224</v>
      </c>
      <c r="J7" s="8" t="s">
        <v>52</v>
      </c>
      <c r="K7" s="2" t="s">
        <v>52</v>
      </c>
      <c r="L7" s="2" t="s">
        <v>52</v>
      </c>
      <c r="M7" s="2" t="s">
        <v>52</v>
      </c>
      <c r="N7" s="2" t="s">
        <v>52</v>
      </c>
    </row>
    <row r="8" spans="1:14" ht="30" customHeight="1">
      <c r="A8" s="8" t="s">
        <v>106</v>
      </c>
      <c r="B8" s="8" t="s">
        <v>104</v>
      </c>
      <c r="C8" s="8" t="s">
        <v>52</v>
      </c>
      <c r="D8" s="8" t="s">
        <v>105</v>
      </c>
      <c r="E8" s="12">
        <f>일위대가!F34</f>
        <v>8230</v>
      </c>
      <c r="F8" s="12">
        <f>일위대가!H34</f>
        <v>629991</v>
      </c>
      <c r="G8" s="12">
        <f>일위대가!J34</f>
        <v>31250</v>
      </c>
      <c r="H8" s="12">
        <f t="shared" si="0"/>
        <v>669471</v>
      </c>
      <c r="I8" s="8" t="s">
        <v>240</v>
      </c>
      <c r="J8" s="8" t="s">
        <v>52</v>
      </c>
      <c r="K8" s="2" t="s">
        <v>52</v>
      </c>
      <c r="L8" s="2" t="s">
        <v>52</v>
      </c>
      <c r="M8" s="2" t="s">
        <v>52</v>
      </c>
      <c r="N8" s="2" t="s">
        <v>52</v>
      </c>
    </row>
    <row r="9" spans="1:14" ht="30" customHeight="1">
      <c r="A9" s="8" t="s">
        <v>110</v>
      </c>
      <c r="B9" s="8" t="s">
        <v>108</v>
      </c>
      <c r="C9" s="8" t="s">
        <v>109</v>
      </c>
      <c r="D9" s="8" t="s">
        <v>58</v>
      </c>
      <c r="E9" s="12">
        <f>일위대가!F44</f>
        <v>435199</v>
      </c>
      <c r="F9" s="12">
        <f>일위대가!H44</f>
        <v>5460357</v>
      </c>
      <c r="G9" s="12">
        <f>일위대가!J44</f>
        <v>651904</v>
      </c>
      <c r="H9" s="12">
        <f t="shared" si="0"/>
        <v>6547460</v>
      </c>
      <c r="I9" s="8" t="s">
        <v>248</v>
      </c>
      <c r="J9" s="8" t="s">
        <v>52</v>
      </c>
      <c r="K9" s="2" t="s">
        <v>52</v>
      </c>
      <c r="L9" s="2" t="s">
        <v>52</v>
      </c>
      <c r="M9" s="2" t="s">
        <v>52</v>
      </c>
      <c r="N9" s="2" t="s">
        <v>52</v>
      </c>
    </row>
    <row r="10" spans="1:14" ht="30" customHeight="1">
      <c r="A10" s="8" t="s">
        <v>114</v>
      </c>
      <c r="B10" s="8" t="s">
        <v>112</v>
      </c>
      <c r="C10" s="8" t="s">
        <v>113</v>
      </c>
      <c r="D10" s="8" t="s">
        <v>58</v>
      </c>
      <c r="E10" s="12">
        <f>일위대가!F55</f>
        <v>452302</v>
      </c>
      <c r="F10" s="12">
        <f>일위대가!H55</f>
        <v>6294035</v>
      </c>
      <c r="G10" s="12">
        <f>일위대가!J55</f>
        <v>691439</v>
      </c>
      <c r="H10" s="12">
        <f t="shared" si="0"/>
        <v>7437776</v>
      </c>
      <c r="I10" s="8" t="s">
        <v>260</v>
      </c>
      <c r="J10" s="8" t="s">
        <v>52</v>
      </c>
      <c r="K10" s="2" t="s">
        <v>52</v>
      </c>
      <c r="L10" s="2" t="s">
        <v>52</v>
      </c>
      <c r="M10" s="2" t="s">
        <v>52</v>
      </c>
      <c r="N10" s="2" t="s">
        <v>52</v>
      </c>
    </row>
    <row r="11" spans="1:14" ht="30" customHeight="1">
      <c r="A11" s="8" t="s">
        <v>128</v>
      </c>
      <c r="B11" s="8" t="s">
        <v>127</v>
      </c>
      <c r="C11" s="8" t="s">
        <v>52</v>
      </c>
      <c r="D11" s="8" t="s">
        <v>105</v>
      </c>
      <c r="E11" s="12">
        <f>일위대가!F61</f>
        <v>1200</v>
      </c>
      <c r="F11" s="12">
        <f>일위대가!H61</f>
        <v>2767</v>
      </c>
      <c r="G11" s="12">
        <f>일위대가!J61</f>
        <v>0</v>
      </c>
      <c r="H11" s="12">
        <f t="shared" si="0"/>
        <v>3967</v>
      </c>
      <c r="I11" s="8" t="s">
        <v>275</v>
      </c>
      <c r="J11" s="8" t="s">
        <v>276</v>
      </c>
      <c r="K11" s="2" t="s">
        <v>52</v>
      </c>
      <c r="L11" s="2" t="s">
        <v>52</v>
      </c>
      <c r="M11" s="2" t="s">
        <v>276</v>
      </c>
      <c r="N11" s="2" t="s">
        <v>52</v>
      </c>
    </row>
    <row r="12" spans="1:14" ht="30" customHeight="1">
      <c r="A12" s="8" t="s">
        <v>162</v>
      </c>
      <c r="B12" s="8" t="s">
        <v>159</v>
      </c>
      <c r="C12" s="8" t="s">
        <v>160</v>
      </c>
      <c r="D12" s="8" t="s">
        <v>161</v>
      </c>
      <c r="E12" s="12">
        <f>일위대가!F68</f>
        <v>5000</v>
      </c>
      <c r="F12" s="12">
        <f>일위대가!H68</f>
        <v>0</v>
      </c>
      <c r="G12" s="12">
        <f>일위대가!J68</f>
        <v>30258</v>
      </c>
      <c r="H12" s="12">
        <f t="shared" si="0"/>
        <v>35258</v>
      </c>
      <c r="I12" s="8" t="s">
        <v>286</v>
      </c>
      <c r="J12" s="8" t="s">
        <v>52</v>
      </c>
      <c r="K12" s="2" t="s">
        <v>52</v>
      </c>
      <c r="L12" s="2" t="s">
        <v>52</v>
      </c>
      <c r="M12" s="2" t="s">
        <v>52</v>
      </c>
      <c r="N12" s="2" t="s">
        <v>52</v>
      </c>
    </row>
    <row r="13" spans="1:14" ht="30" customHeight="1">
      <c r="A13" s="8" t="s">
        <v>303</v>
      </c>
      <c r="B13" s="8" t="s">
        <v>304</v>
      </c>
      <c r="C13" s="8" t="s">
        <v>305</v>
      </c>
      <c r="D13" s="8" t="s">
        <v>306</v>
      </c>
      <c r="E13" s="12">
        <f>일위대가!F75</f>
        <v>12283</v>
      </c>
      <c r="F13" s="12">
        <f>일위대가!H75</f>
        <v>42474</v>
      </c>
      <c r="G13" s="12">
        <f>일위대가!J75</f>
        <v>14872</v>
      </c>
      <c r="H13" s="12">
        <f t="shared" si="0"/>
        <v>69629</v>
      </c>
      <c r="I13" s="8" t="s">
        <v>307</v>
      </c>
      <c r="J13" s="8" t="s">
        <v>308</v>
      </c>
      <c r="K13" s="2" t="s">
        <v>309</v>
      </c>
      <c r="L13" s="2" t="s">
        <v>52</v>
      </c>
      <c r="M13" s="2" t="s">
        <v>308</v>
      </c>
      <c r="N13" s="2" t="s">
        <v>60</v>
      </c>
    </row>
    <row r="14" spans="1:14" ht="30" customHeight="1">
      <c r="A14" s="8" t="s">
        <v>326</v>
      </c>
      <c r="B14" s="8" t="s">
        <v>327</v>
      </c>
      <c r="C14" s="8" t="s">
        <v>328</v>
      </c>
      <c r="D14" s="8" t="s">
        <v>306</v>
      </c>
      <c r="E14" s="12">
        <f>일위대가!F82</f>
        <v>1438</v>
      </c>
      <c r="F14" s="12">
        <f>일위대가!H82</f>
        <v>28744</v>
      </c>
      <c r="G14" s="12">
        <f>일위대가!J82</f>
        <v>529</v>
      </c>
      <c r="H14" s="12">
        <f t="shared" si="0"/>
        <v>30711</v>
      </c>
      <c r="I14" s="8" t="s">
        <v>329</v>
      </c>
      <c r="J14" s="8" t="s">
        <v>330</v>
      </c>
      <c r="K14" s="2" t="s">
        <v>309</v>
      </c>
      <c r="L14" s="2" t="s">
        <v>52</v>
      </c>
      <c r="M14" s="2" t="s">
        <v>330</v>
      </c>
      <c r="N14" s="2" t="s">
        <v>60</v>
      </c>
    </row>
    <row r="15" spans="1:14" ht="30" customHeight="1">
      <c r="A15" s="8" t="s">
        <v>227</v>
      </c>
      <c r="B15" s="8" t="s">
        <v>225</v>
      </c>
      <c r="C15" s="8" t="s">
        <v>226</v>
      </c>
      <c r="D15" s="8" t="s">
        <v>74</v>
      </c>
      <c r="E15" s="12">
        <f>일위대가!F88</f>
        <v>648</v>
      </c>
      <c r="F15" s="12">
        <f>일위대가!H88</f>
        <v>7946</v>
      </c>
      <c r="G15" s="12">
        <f>일위대가!J88</f>
        <v>1005</v>
      </c>
      <c r="H15" s="12">
        <f t="shared" si="0"/>
        <v>9599</v>
      </c>
      <c r="I15" s="8" t="s">
        <v>343</v>
      </c>
      <c r="J15" s="8" t="s">
        <v>344</v>
      </c>
      <c r="K15" s="2" t="s">
        <v>52</v>
      </c>
      <c r="L15" s="2" t="s">
        <v>52</v>
      </c>
      <c r="M15" s="2" t="s">
        <v>344</v>
      </c>
      <c r="N15" s="2" t="s">
        <v>52</v>
      </c>
    </row>
    <row r="16" spans="1:14" ht="30" customHeight="1">
      <c r="A16" s="8" t="s">
        <v>231</v>
      </c>
      <c r="B16" s="8" t="s">
        <v>229</v>
      </c>
      <c r="C16" s="8" t="s">
        <v>230</v>
      </c>
      <c r="D16" s="8" t="s">
        <v>74</v>
      </c>
      <c r="E16" s="12">
        <f>일위대가!F98</f>
        <v>36744</v>
      </c>
      <c r="F16" s="12">
        <f>일위대가!H98</f>
        <v>87937</v>
      </c>
      <c r="G16" s="12">
        <f>일위대가!J98</f>
        <v>2521</v>
      </c>
      <c r="H16" s="12">
        <f t="shared" si="0"/>
        <v>127202</v>
      </c>
      <c r="I16" s="8" t="s">
        <v>354</v>
      </c>
      <c r="J16" s="8" t="s">
        <v>355</v>
      </c>
      <c r="K16" s="2" t="s">
        <v>52</v>
      </c>
      <c r="L16" s="2" t="s">
        <v>52</v>
      </c>
      <c r="M16" s="2" t="s">
        <v>355</v>
      </c>
      <c r="N16" s="2" t="s">
        <v>52</v>
      </c>
    </row>
    <row r="17" spans="1:14" ht="30" customHeight="1">
      <c r="A17" s="8" t="s">
        <v>234</v>
      </c>
      <c r="B17" s="8" t="s">
        <v>233</v>
      </c>
      <c r="C17" s="8" t="s">
        <v>52</v>
      </c>
      <c r="D17" s="8" t="s">
        <v>74</v>
      </c>
      <c r="E17" s="12">
        <f>일위대가!F106</f>
        <v>31086</v>
      </c>
      <c r="F17" s="12">
        <f>일위대가!H106</f>
        <v>318667</v>
      </c>
      <c r="G17" s="12">
        <f>일위대가!J106</f>
        <v>57423</v>
      </c>
      <c r="H17" s="12">
        <f t="shared" si="0"/>
        <v>407176</v>
      </c>
      <c r="I17" s="8" t="s">
        <v>379</v>
      </c>
      <c r="J17" s="8" t="s">
        <v>380</v>
      </c>
      <c r="K17" s="2" t="s">
        <v>52</v>
      </c>
      <c r="L17" s="2" t="s">
        <v>52</v>
      </c>
      <c r="M17" s="2" t="s">
        <v>380</v>
      </c>
      <c r="N17" s="2" t="s">
        <v>52</v>
      </c>
    </row>
    <row r="18" spans="1:14" ht="30" customHeight="1">
      <c r="A18" s="8" t="s">
        <v>237</v>
      </c>
      <c r="B18" s="8" t="s">
        <v>236</v>
      </c>
      <c r="C18" s="8" t="s">
        <v>52</v>
      </c>
      <c r="D18" s="8" t="s">
        <v>74</v>
      </c>
      <c r="E18" s="12">
        <f>일위대가!F113</f>
        <v>0</v>
      </c>
      <c r="F18" s="12">
        <f>일위대가!H113</f>
        <v>240801</v>
      </c>
      <c r="G18" s="12">
        <f>일위대가!J113</f>
        <v>12040</v>
      </c>
      <c r="H18" s="12">
        <f t="shared" si="0"/>
        <v>252841</v>
      </c>
      <c r="I18" s="8" t="s">
        <v>396</v>
      </c>
      <c r="J18" s="8" t="s">
        <v>397</v>
      </c>
      <c r="K18" s="2" t="s">
        <v>52</v>
      </c>
      <c r="L18" s="2" t="s">
        <v>52</v>
      </c>
      <c r="M18" s="2" t="s">
        <v>397</v>
      </c>
      <c r="N18" s="2" t="s">
        <v>52</v>
      </c>
    </row>
    <row r="19" spans="1:14" ht="30" customHeight="1">
      <c r="A19" s="8" t="s">
        <v>347</v>
      </c>
      <c r="B19" s="8" t="s">
        <v>304</v>
      </c>
      <c r="C19" s="8" t="s">
        <v>346</v>
      </c>
      <c r="D19" s="8" t="s">
        <v>306</v>
      </c>
      <c r="E19" s="12">
        <f>일위대가!F120</f>
        <v>6152</v>
      </c>
      <c r="F19" s="12">
        <f>일위대가!H120</f>
        <v>42474</v>
      </c>
      <c r="G19" s="12">
        <f>일위대가!J120</f>
        <v>12301</v>
      </c>
      <c r="H19" s="12">
        <f t="shared" si="0"/>
        <v>60927</v>
      </c>
      <c r="I19" s="8" t="s">
        <v>403</v>
      </c>
      <c r="J19" s="8" t="s">
        <v>308</v>
      </c>
      <c r="K19" s="2" t="s">
        <v>309</v>
      </c>
      <c r="L19" s="2" t="s">
        <v>52</v>
      </c>
      <c r="M19" s="2" t="s">
        <v>308</v>
      </c>
      <c r="N19" s="2" t="s">
        <v>60</v>
      </c>
    </row>
    <row r="20" spans="1:14" ht="30" customHeight="1">
      <c r="A20" s="8" t="s">
        <v>351</v>
      </c>
      <c r="B20" s="8" t="s">
        <v>349</v>
      </c>
      <c r="C20" s="8" t="s">
        <v>350</v>
      </c>
      <c r="D20" s="8" t="s">
        <v>306</v>
      </c>
      <c r="E20" s="12">
        <f>일위대가!F127</f>
        <v>2528</v>
      </c>
      <c r="F20" s="12">
        <f>일위대가!H127</f>
        <v>28744</v>
      </c>
      <c r="G20" s="12">
        <f>일위대가!J127</f>
        <v>1680</v>
      </c>
      <c r="H20" s="12">
        <f t="shared" si="0"/>
        <v>32952</v>
      </c>
      <c r="I20" s="8" t="s">
        <v>411</v>
      </c>
      <c r="J20" s="8" t="s">
        <v>412</v>
      </c>
      <c r="K20" s="2" t="s">
        <v>309</v>
      </c>
      <c r="L20" s="2" t="s">
        <v>52</v>
      </c>
      <c r="M20" s="2" t="s">
        <v>412</v>
      </c>
      <c r="N20" s="2" t="s">
        <v>60</v>
      </c>
    </row>
    <row r="21" spans="1:14" ht="30" customHeight="1">
      <c r="A21" s="8" t="s">
        <v>391</v>
      </c>
      <c r="B21" s="8" t="s">
        <v>304</v>
      </c>
      <c r="C21" s="8" t="s">
        <v>390</v>
      </c>
      <c r="D21" s="8" t="s">
        <v>306</v>
      </c>
      <c r="E21" s="12">
        <f>일위대가!F134</f>
        <v>14392</v>
      </c>
      <c r="F21" s="12">
        <f>일위대가!H134</f>
        <v>42474</v>
      </c>
      <c r="G21" s="12">
        <f>일위대가!J134</f>
        <v>21332</v>
      </c>
      <c r="H21" s="12">
        <f t="shared" si="0"/>
        <v>78198</v>
      </c>
      <c r="I21" s="8" t="s">
        <v>420</v>
      </c>
      <c r="J21" s="8" t="s">
        <v>308</v>
      </c>
      <c r="K21" s="2" t="s">
        <v>309</v>
      </c>
      <c r="L21" s="2" t="s">
        <v>52</v>
      </c>
      <c r="M21" s="2" t="s">
        <v>308</v>
      </c>
      <c r="N21" s="2" t="s">
        <v>60</v>
      </c>
    </row>
    <row r="22" spans="1:14" ht="30" customHeight="1">
      <c r="A22" s="8" t="s">
        <v>242</v>
      </c>
      <c r="B22" s="8" t="s">
        <v>241</v>
      </c>
      <c r="C22" s="8" t="s">
        <v>52</v>
      </c>
      <c r="D22" s="8" t="s">
        <v>105</v>
      </c>
      <c r="E22" s="12">
        <f>일위대가!F142</f>
        <v>1925</v>
      </c>
      <c r="F22" s="12">
        <f>일위대가!H142</f>
        <v>621712</v>
      </c>
      <c r="G22" s="12">
        <f>일위대가!J142</f>
        <v>31085</v>
      </c>
      <c r="H22" s="12">
        <f t="shared" si="0"/>
        <v>654722</v>
      </c>
      <c r="I22" s="8" t="s">
        <v>427</v>
      </c>
      <c r="J22" s="8" t="s">
        <v>428</v>
      </c>
      <c r="K22" s="2" t="s">
        <v>52</v>
      </c>
      <c r="L22" s="2" t="s">
        <v>52</v>
      </c>
      <c r="M22" s="2" t="s">
        <v>428</v>
      </c>
      <c r="N22" s="2" t="s">
        <v>52</v>
      </c>
    </row>
    <row r="23" spans="1:14" ht="30" customHeight="1">
      <c r="A23" s="8" t="s">
        <v>245</v>
      </c>
      <c r="B23" s="8" t="s">
        <v>803</v>
      </c>
      <c r="C23" s="8" t="s">
        <v>52</v>
      </c>
      <c r="D23" s="8" t="s">
        <v>74</v>
      </c>
      <c r="E23" s="12">
        <f>일위대가!F151</f>
        <v>126100</v>
      </c>
      <c r="F23" s="12">
        <f>일위대가!H151</f>
        <v>165591</v>
      </c>
      <c r="G23" s="12">
        <f>일위대가!J151</f>
        <v>3311</v>
      </c>
      <c r="H23" s="12">
        <f t="shared" si="0"/>
        <v>295002</v>
      </c>
      <c r="I23" s="8" t="s">
        <v>437</v>
      </c>
      <c r="J23" s="8" t="s">
        <v>841</v>
      </c>
      <c r="K23" s="2" t="s">
        <v>52</v>
      </c>
      <c r="L23" s="2" t="s">
        <v>52</v>
      </c>
      <c r="M23" s="2" t="s">
        <v>438</v>
      </c>
      <c r="N23" s="2" t="s">
        <v>52</v>
      </c>
    </row>
    <row r="24" spans="1:14" ht="30" customHeight="1">
      <c r="A24" s="8" t="s">
        <v>250</v>
      </c>
      <c r="B24" s="8" t="s">
        <v>233</v>
      </c>
      <c r="C24" s="8" t="s">
        <v>249</v>
      </c>
      <c r="D24" s="8" t="s">
        <v>74</v>
      </c>
      <c r="E24" s="12">
        <f>일위대가!F159</f>
        <v>31086</v>
      </c>
      <c r="F24" s="12">
        <f>일위대가!H159</f>
        <v>318667</v>
      </c>
      <c r="G24" s="12">
        <f>일위대가!J159</f>
        <v>57423</v>
      </c>
      <c r="H24" s="12">
        <f t="shared" si="0"/>
        <v>407176</v>
      </c>
      <c r="I24" s="8" t="s">
        <v>452</v>
      </c>
      <c r="J24" s="8" t="s">
        <v>380</v>
      </c>
      <c r="K24" s="2" t="s">
        <v>52</v>
      </c>
      <c r="L24" s="2" t="s">
        <v>52</v>
      </c>
      <c r="M24" s="2" t="s">
        <v>380</v>
      </c>
      <c r="N24" s="2" t="s">
        <v>52</v>
      </c>
    </row>
    <row r="25" spans="1:14" ht="30" customHeight="1">
      <c r="A25" s="8" t="s">
        <v>252</v>
      </c>
      <c r="B25" s="8" t="s">
        <v>233</v>
      </c>
      <c r="C25" s="8" t="s">
        <v>99</v>
      </c>
      <c r="D25" s="8" t="s">
        <v>74</v>
      </c>
      <c r="E25" s="12">
        <f>일위대가!F167</f>
        <v>31086</v>
      </c>
      <c r="F25" s="12">
        <f>일위대가!H167</f>
        <v>318667</v>
      </c>
      <c r="G25" s="12">
        <f>일위대가!J167</f>
        <v>57423</v>
      </c>
      <c r="H25" s="12">
        <f t="shared" si="0"/>
        <v>407176</v>
      </c>
      <c r="I25" s="8" t="s">
        <v>459</v>
      </c>
      <c r="J25" s="8" t="s">
        <v>380</v>
      </c>
      <c r="K25" s="2" t="s">
        <v>52</v>
      </c>
      <c r="L25" s="2" t="s">
        <v>52</v>
      </c>
      <c r="M25" s="2" t="s">
        <v>380</v>
      </c>
      <c r="N25" s="2" t="s">
        <v>52</v>
      </c>
    </row>
    <row r="26" spans="1:14" ht="30" customHeight="1">
      <c r="A26" s="8" t="s">
        <v>266</v>
      </c>
      <c r="B26" s="8" t="s">
        <v>265</v>
      </c>
      <c r="C26" s="8" t="s">
        <v>52</v>
      </c>
      <c r="D26" s="8" t="s">
        <v>74</v>
      </c>
      <c r="E26" s="12">
        <f>일위대가!F176</f>
        <v>22400</v>
      </c>
      <c r="F26" s="12">
        <f>일위대가!H176</f>
        <v>180685</v>
      </c>
      <c r="G26" s="12">
        <f>일위대가!J176</f>
        <v>3613</v>
      </c>
      <c r="H26" s="12">
        <f t="shared" si="0"/>
        <v>206698</v>
      </c>
      <c r="I26" s="8" t="s">
        <v>466</v>
      </c>
      <c r="J26" s="8" t="s">
        <v>467</v>
      </c>
      <c r="K26" s="2" t="s">
        <v>52</v>
      </c>
      <c r="L26" s="2" t="s">
        <v>52</v>
      </c>
      <c r="M26" s="2" t="s">
        <v>467</v>
      </c>
      <c r="N26" s="2" t="s">
        <v>52</v>
      </c>
    </row>
    <row r="27" spans="1:14" ht="30" customHeight="1">
      <c r="A27" s="8" t="s">
        <v>272</v>
      </c>
      <c r="B27" s="8" t="s">
        <v>270</v>
      </c>
      <c r="C27" s="8" t="s">
        <v>271</v>
      </c>
      <c r="D27" s="8" t="s">
        <v>105</v>
      </c>
      <c r="E27" s="12">
        <f>일위대가!F181</f>
        <v>7872</v>
      </c>
      <c r="F27" s="12">
        <f>일위대가!H181</f>
        <v>24860</v>
      </c>
      <c r="G27" s="12">
        <f>일위대가!J181</f>
        <v>248</v>
      </c>
      <c r="H27" s="12">
        <f t="shared" si="0"/>
        <v>32980</v>
      </c>
      <c r="I27" s="8" t="s">
        <v>477</v>
      </c>
      <c r="J27" s="8" t="s">
        <v>478</v>
      </c>
      <c r="K27" s="2" t="s">
        <v>52</v>
      </c>
      <c r="L27" s="2" t="s">
        <v>52</v>
      </c>
      <c r="M27" s="2" t="s">
        <v>478</v>
      </c>
      <c r="N27" s="2" t="s">
        <v>52</v>
      </c>
    </row>
    <row r="28" spans="1:14" ht="30" customHeight="1">
      <c r="A28" s="8" t="s">
        <v>481</v>
      </c>
      <c r="B28" s="8" t="s">
        <v>479</v>
      </c>
      <c r="C28" s="8" t="s">
        <v>480</v>
      </c>
      <c r="D28" s="8" t="s">
        <v>105</v>
      </c>
      <c r="E28" s="12">
        <f>일위대가!F188</f>
        <v>7872</v>
      </c>
      <c r="F28" s="12">
        <f>일위대가!H188</f>
        <v>0</v>
      </c>
      <c r="G28" s="12">
        <f>일위대가!J188</f>
        <v>0</v>
      </c>
      <c r="H28" s="12">
        <f t="shared" si="0"/>
        <v>7872</v>
      </c>
      <c r="I28" s="8" t="s">
        <v>488</v>
      </c>
      <c r="J28" s="8" t="s">
        <v>478</v>
      </c>
      <c r="K28" s="2" t="s">
        <v>52</v>
      </c>
      <c r="L28" s="2" t="s">
        <v>52</v>
      </c>
      <c r="M28" s="2" t="s">
        <v>478</v>
      </c>
      <c r="N28" s="2" t="s">
        <v>52</v>
      </c>
    </row>
    <row r="29" spans="1:14" ht="30" customHeight="1">
      <c r="A29" s="8" t="s">
        <v>485</v>
      </c>
      <c r="B29" s="8" t="s">
        <v>483</v>
      </c>
      <c r="C29" s="8" t="s">
        <v>484</v>
      </c>
      <c r="D29" s="8" t="s">
        <v>105</v>
      </c>
      <c r="E29" s="12">
        <f>일위대가!F194</f>
        <v>0</v>
      </c>
      <c r="F29" s="12">
        <f>일위대가!H194</f>
        <v>24860</v>
      </c>
      <c r="G29" s="12">
        <f>일위대가!J194</f>
        <v>248</v>
      </c>
      <c r="H29" s="12">
        <f t="shared" si="0"/>
        <v>25108</v>
      </c>
      <c r="I29" s="8" t="s">
        <v>504</v>
      </c>
      <c r="J29" s="8" t="s">
        <v>478</v>
      </c>
      <c r="K29" s="2" t="s">
        <v>52</v>
      </c>
      <c r="L29" s="2" t="s">
        <v>52</v>
      </c>
      <c r="M29" s="2" t="s">
        <v>478</v>
      </c>
      <c r="N29" s="2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Y194"/>
  <sheetViews>
    <sheetView zoomScale="85" zoomScaleNormal="85" workbookViewId="0">
      <selection sqref="A1:M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287" t="s">
        <v>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51" ht="30" customHeight="1">
      <c r="A2" s="286" t="s">
        <v>2</v>
      </c>
      <c r="B2" s="286" t="s">
        <v>3</v>
      </c>
      <c r="C2" s="286" t="s">
        <v>4</v>
      </c>
      <c r="D2" s="286" t="s">
        <v>5</v>
      </c>
      <c r="E2" s="286" t="s">
        <v>6</v>
      </c>
      <c r="F2" s="286"/>
      <c r="G2" s="286" t="s">
        <v>9</v>
      </c>
      <c r="H2" s="286"/>
      <c r="I2" s="286" t="s">
        <v>10</v>
      </c>
      <c r="J2" s="286"/>
      <c r="K2" s="286" t="s">
        <v>11</v>
      </c>
      <c r="L2" s="286"/>
      <c r="M2" s="286" t="s">
        <v>12</v>
      </c>
      <c r="N2" s="284" t="s">
        <v>176</v>
      </c>
      <c r="O2" s="284" t="s">
        <v>13</v>
      </c>
      <c r="P2" s="284" t="s">
        <v>18</v>
      </c>
      <c r="Q2" s="284" t="s">
        <v>19</v>
      </c>
      <c r="R2" s="284" t="s">
        <v>20</v>
      </c>
      <c r="S2" s="284" t="s">
        <v>21</v>
      </c>
      <c r="T2" s="284" t="s">
        <v>22</v>
      </c>
      <c r="U2" s="284" t="s">
        <v>23</v>
      </c>
      <c r="V2" s="284" t="s">
        <v>24</v>
      </c>
      <c r="W2" s="284" t="s">
        <v>25</v>
      </c>
      <c r="X2" s="284" t="s">
        <v>26</v>
      </c>
      <c r="Y2" s="284" t="s">
        <v>27</v>
      </c>
      <c r="Z2" s="284" t="s">
        <v>28</v>
      </c>
      <c r="AA2" s="284" t="s">
        <v>29</v>
      </c>
      <c r="AB2" s="284" t="s">
        <v>30</v>
      </c>
      <c r="AC2" s="284" t="s">
        <v>31</v>
      </c>
      <c r="AD2" s="284" t="s">
        <v>32</v>
      </c>
      <c r="AE2" s="284" t="s">
        <v>33</v>
      </c>
      <c r="AF2" s="284" t="s">
        <v>34</v>
      </c>
      <c r="AG2" s="284" t="s">
        <v>35</v>
      </c>
      <c r="AH2" s="284" t="s">
        <v>36</v>
      </c>
      <c r="AI2" s="284" t="s">
        <v>37</v>
      </c>
      <c r="AJ2" s="284" t="s">
        <v>38</v>
      </c>
      <c r="AK2" s="284" t="s">
        <v>39</v>
      </c>
      <c r="AL2" s="284" t="s">
        <v>40</v>
      </c>
      <c r="AM2" s="284" t="s">
        <v>41</v>
      </c>
      <c r="AN2" s="284" t="s">
        <v>42</v>
      </c>
      <c r="AO2" s="284" t="s">
        <v>43</v>
      </c>
      <c r="AP2" s="284" t="s">
        <v>177</v>
      </c>
      <c r="AQ2" s="284" t="s">
        <v>178</v>
      </c>
      <c r="AR2" s="284" t="s">
        <v>179</v>
      </c>
      <c r="AS2" s="284" t="s">
        <v>180</v>
      </c>
      <c r="AT2" s="284" t="s">
        <v>181</v>
      </c>
      <c r="AU2" s="284" t="s">
        <v>182</v>
      </c>
      <c r="AV2" s="284" t="s">
        <v>44</v>
      </c>
      <c r="AW2" s="284" t="s">
        <v>183</v>
      </c>
      <c r="AX2" s="1" t="s">
        <v>175</v>
      </c>
      <c r="AY2" s="1" t="s">
        <v>15</v>
      </c>
    </row>
    <row r="3" spans="1:51" ht="30" customHeight="1">
      <c r="A3" s="286"/>
      <c r="B3" s="286"/>
      <c r="C3" s="286"/>
      <c r="D3" s="286"/>
      <c r="E3" s="6" t="s">
        <v>7</v>
      </c>
      <c r="F3" s="6" t="s">
        <v>8</v>
      </c>
      <c r="G3" s="6" t="s">
        <v>7</v>
      </c>
      <c r="H3" s="6" t="s">
        <v>8</v>
      </c>
      <c r="I3" s="6" t="s">
        <v>7</v>
      </c>
      <c r="J3" s="6" t="s">
        <v>8</v>
      </c>
      <c r="K3" s="6" t="s">
        <v>7</v>
      </c>
      <c r="L3" s="6" t="s">
        <v>8</v>
      </c>
      <c r="M3" s="286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</row>
    <row r="4" spans="1:51" ht="30" customHeight="1">
      <c r="A4" s="288" t="s">
        <v>184</v>
      </c>
      <c r="B4" s="288"/>
      <c r="C4" s="288"/>
      <c r="D4" s="288"/>
      <c r="E4" s="289"/>
      <c r="F4" s="290"/>
      <c r="G4" s="289"/>
      <c r="H4" s="290"/>
      <c r="I4" s="289"/>
      <c r="J4" s="290"/>
      <c r="K4" s="289"/>
      <c r="L4" s="290"/>
      <c r="M4" s="288"/>
      <c r="N4" s="1" t="s">
        <v>59</v>
      </c>
    </row>
    <row r="5" spans="1:51" ht="30" customHeight="1">
      <c r="A5" s="249" t="s">
        <v>186</v>
      </c>
      <c r="B5" s="249" t="s">
        <v>187</v>
      </c>
      <c r="C5" s="249" t="s">
        <v>188</v>
      </c>
      <c r="D5" s="251">
        <v>0.12</v>
      </c>
      <c r="E5" s="252">
        <f>단가대비표!O34</f>
        <v>0</v>
      </c>
      <c r="F5" s="250">
        <f>TRUNC(E5*D5,1)</f>
        <v>0</v>
      </c>
      <c r="G5" s="253">
        <f>단가대비표!P34</f>
        <v>138989</v>
      </c>
      <c r="H5" s="250">
        <f>TRUNC(G5*D5,1)</f>
        <v>16678.599999999999</v>
      </c>
      <c r="I5" s="252">
        <f>단가대비표!V34</f>
        <v>0</v>
      </c>
      <c r="J5" s="250">
        <f>TRUNC(I5*D5,1)</f>
        <v>0</v>
      </c>
      <c r="K5" s="252">
        <f t="shared" ref="K5:L9" si="0">TRUNC(E5+G5+I5,1)</f>
        <v>138989</v>
      </c>
      <c r="L5" s="250">
        <f t="shared" si="0"/>
        <v>16678.599999999999</v>
      </c>
      <c r="M5" s="249" t="s">
        <v>52</v>
      </c>
      <c r="N5" s="2" t="s">
        <v>59</v>
      </c>
      <c r="O5" s="2" t="s">
        <v>189</v>
      </c>
      <c r="P5" s="2" t="s">
        <v>54</v>
      </c>
      <c r="Q5" s="2" t="s">
        <v>54</v>
      </c>
      <c r="R5" s="2" t="s">
        <v>60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190</v>
      </c>
      <c r="AX5" s="2" t="s">
        <v>52</v>
      </c>
      <c r="AY5" s="2" t="s">
        <v>52</v>
      </c>
    </row>
    <row r="6" spans="1:51" ht="30" customHeight="1">
      <c r="A6" s="8" t="s">
        <v>191</v>
      </c>
      <c r="B6" s="8" t="s">
        <v>192</v>
      </c>
      <c r="C6" s="8" t="s">
        <v>193</v>
      </c>
      <c r="D6" s="9">
        <v>9.7919999999999998</v>
      </c>
      <c r="E6" s="11">
        <f>단가대비표!O26</f>
        <v>636</v>
      </c>
      <c r="F6" s="12">
        <f>TRUNC(E6*D6,1)</f>
        <v>6227.7</v>
      </c>
      <c r="G6" s="11">
        <f>단가대비표!P26</f>
        <v>0</v>
      </c>
      <c r="H6" s="12">
        <f>TRUNC(G6*D6,1)</f>
        <v>0</v>
      </c>
      <c r="I6" s="11">
        <f>단가대비표!V26</f>
        <v>0</v>
      </c>
      <c r="J6" s="12">
        <f>TRUNC(I6*D6,1)</f>
        <v>0</v>
      </c>
      <c r="K6" s="11">
        <f t="shared" si="0"/>
        <v>636</v>
      </c>
      <c r="L6" s="12">
        <f t="shared" si="0"/>
        <v>6227.7</v>
      </c>
      <c r="M6" s="8" t="s">
        <v>52</v>
      </c>
      <c r="N6" s="2" t="s">
        <v>59</v>
      </c>
      <c r="O6" s="2" t="s">
        <v>194</v>
      </c>
      <c r="P6" s="2" t="s">
        <v>54</v>
      </c>
      <c r="Q6" s="2" t="s">
        <v>54</v>
      </c>
      <c r="R6" s="2" t="s">
        <v>60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195</v>
      </c>
      <c r="AX6" s="2" t="s">
        <v>52</v>
      </c>
      <c r="AY6" s="2" t="s">
        <v>52</v>
      </c>
    </row>
    <row r="7" spans="1:51" ht="30" customHeight="1">
      <c r="A7" s="8" t="s">
        <v>196</v>
      </c>
      <c r="B7" s="8" t="s">
        <v>197</v>
      </c>
      <c r="C7" s="8" t="s">
        <v>74</v>
      </c>
      <c r="D7" s="9">
        <v>3.3000000000000002E-2</v>
      </c>
      <c r="E7" s="11">
        <f>단가대비표!O24</f>
        <v>365375</v>
      </c>
      <c r="F7" s="12">
        <f>TRUNC(E7*D7,1)</f>
        <v>12057.3</v>
      </c>
      <c r="G7" s="11">
        <f>단가대비표!P24</f>
        <v>0</v>
      </c>
      <c r="H7" s="12">
        <f>TRUNC(G7*D7,1)</f>
        <v>0</v>
      </c>
      <c r="I7" s="11">
        <f>단가대비표!V24</f>
        <v>0</v>
      </c>
      <c r="J7" s="12">
        <f>TRUNC(I7*D7,1)</f>
        <v>0</v>
      </c>
      <c r="K7" s="11">
        <f t="shared" si="0"/>
        <v>365375</v>
      </c>
      <c r="L7" s="12">
        <f t="shared" si="0"/>
        <v>12057.3</v>
      </c>
      <c r="M7" s="8" t="s">
        <v>52</v>
      </c>
      <c r="N7" s="2" t="s">
        <v>59</v>
      </c>
      <c r="O7" s="2" t="s">
        <v>198</v>
      </c>
      <c r="P7" s="2" t="s">
        <v>54</v>
      </c>
      <c r="Q7" s="2" t="s">
        <v>54</v>
      </c>
      <c r="R7" s="2" t="s">
        <v>60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52</v>
      </c>
      <c r="AW7" s="2" t="s">
        <v>199</v>
      </c>
      <c r="AX7" s="2" t="s">
        <v>52</v>
      </c>
      <c r="AY7" s="2" t="s">
        <v>52</v>
      </c>
    </row>
    <row r="8" spans="1:51" ht="30" customHeight="1">
      <c r="A8" s="8" t="s">
        <v>200</v>
      </c>
      <c r="B8" s="8" t="s">
        <v>201</v>
      </c>
      <c r="C8" s="8" t="s">
        <v>202</v>
      </c>
      <c r="D8" s="9">
        <v>0.40500000000000003</v>
      </c>
      <c r="E8" s="11">
        <f>단가대비표!O30</f>
        <v>1093</v>
      </c>
      <c r="F8" s="12">
        <f>TRUNC(E8*D8,1)</f>
        <v>442.6</v>
      </c>
      <c r="G8" s="11">
        <f>단가대비표!P30</f>
        <v>0</v>
      </c>
      <c r="H8" s="12">
        <f>TRUNC(G8*D8,1)</f>
        <v>0</v>
      </c>
      <c r="I8" s="11">
        <f>단가대비표!V30</f>
        <v>0</v>
      </c>
      <c r="J8" s="12">
        <f>TRUNC(I8*D8,1)</f>
        <v>0</v>
      </c>
      <c r="K8" s="11">
        <f t="shared" si="0"/>
        <v>1093</v>
      </c>
      <c r="L8" s="12">
        <f t="shared" si="0"/>
        <v>442.6</v>
      </c>
      <c r="M8" s="8" t="s">
        <v>52</v>
      </c>
      <c r="N8" s="2" t="s">
        <v>59</v>
      </c>
      <c r="O8" s="2" t="s">
        <v>203</v>
      </c>
      <c r="P8" s="2" t="s">
        <v>54</v>
      </c>
      <c r="Q8" s="2" t="s">
        <v>54</v>
      </c>
      <c r="R8" s="2" t="s">
        <v>60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52</v>
      </c>
      <c r="AW8" s="2" t="s">
        <v>204</v>
      </c>
      <c r="AX8" s="2" t="s">
        <v>52</v>
      </c>
      <c r="AY8" s="2" t="s">
        <v>52</v>
      </c>
    </row>
    <row r="9" spans="1:51" ht="30" customHeight="1">
      <c r="A9" s="8" t="s">
        <v>205</v>
      </c>
      <c r="B9" s="8" t="s">
        <v>187</v>
      </c>
      <c r="C9" s="8" t="s">
        <v>188</v>
      </c>
      <c r="D9" s="9">
        <v>0.53</v>
      </c>
      <c r="E9" s="11">
        <f>단가대비표!O36</f>
        <v>0</v>
      </c>
      <c r="F9" s="12">
        <f>TRUNC(E9*D9,1)</f>
        <v>0</v>
      </c>
      <c r="G9" s="193">
        <f>단가대비표!P36</f>
        <v>220808</v>
      </c>
      <c r="H9" s="12">
        <f>TRUNC(G9*D9,1)</f>
        <v>117028.2</v>
      </c>
      <c r="I9" s="11">
        <f>단가대비표!V36</f>
        <v>0</v>
      </c>
      <c r="J9" s="12">
        <f>TRUNC(I9*D9,1)</f>
        <v>0</v>
      </c>
      <c r="K9" s="11">
        <f t="shared" si="0"/>
        <v>220808</v>
      </c>
      <c r="L9" s="12">
        <f t="shared" si="0"/>
        <v>117028.2</v>
      </c>
      <c r="M9" s="8" t="s">
        <v>52</v>
      </c>
      <c r="N9" s="2" t="s">
        <v>59</v>
      </c>
      <c r="O9" s="2" t="s">
        <v>206</v>
      </c>
      <c r="P9" s="2" t="s">
        <v>54</v>
      </c>
      <c r="Q9" s="2" t="s">
        <v>54</v>
      </c>
      <c r="R9" s="2" t="s">
        <v>60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207</v>
      </c>
      <c r="AX9" s="2" t="s">
        <v>52</v>
      </c>
      <c r="AY9" s="2" t="s">
        <v>52</v>
      </c>
    </row>
    <row r="10" spans="1:51" ht="30" customHeight="1">
      <c r="A10" s="8" t="s">
        <v>208</v>
      </c>
      <c r="B10" s="8" t="s">
        <v>52</v>
      </c>
      <c r="C10" s="8" t="s">
        <v>52</v>
      </c>
      <c r="D10" s="9"/>
      <c r="E10" s="11"/>
      <c r="F10" s="12">
        <f>TRUNC(SUMIF(N5:N9, N4, F5:F9),0)</f>
        <v>18727</v>
      </c>
      <c r="G10" s="11"/>
      <c r="H10" s="12">
        <f>TRUNC(SUMIF(N5:N9, N4, H5:H9),0)</f>
        <v>133706</v>
      </c>
      <c r="I10" s="11"/>
      <c r="J10" s="12">
        <f>TRUNC(SUMIF(N5:N9, N4, J5:J9),0)</f>
        <v>0</v>
      </c>
      <c r="K10" s="11"/>
      <c r="L10" s="12">
        <f>F10+H10+J10</f>
        <v>152433</v>
      </c>
      <c r="M10" s="8" t="s">
        <v>52</v>
      </c>
      <c r="N10" s="2" t="s">
        <v>209</v>
      </c>
      <c r="O10" s="2" t="s">
        <v>209</v>
      </c>
      <c r="P10" s="2" t="s">
        <v>52</v>
      </c>
      <c r="Q10" s="2" t="s">
        <v>52</v>
      </c>
      <c r="R10" s="2" t="s">
        <v>52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52</v>
      </c>
      <c r="AX10" s="2" t="s">
        <v>52</v>
      </c>
      <c r="AY10" s="2" t="s">
        <v>52</v>
      </c>
    </row>
    <row r="11" spans="1:51" ht="30" customHeight="1">
      <c r="A11" s="9"/>
      <c r="B11" s="9"/>
      <c r="C11" s="9"/>
      <c r="D11" s="9"/>
      <c r="E11" s="11"/>
      <c r="F11" s="12"/>
      <c r="G11" s="11"/>
      <c r="H11" s="12"/>
      <c r="I11" s="11"/>
      <c r="J11" s="12"/>
      <c r="K11" s="11"/>
      <c r="L11" s="12"/>
      <c r="M11" s="9"/>
    </row>
    <row r="12" spans="1:51" ht="30" customHeight="1">
      <c r="A12" s="288" t="s">
        <v>210</v>
      </c>
      <c r="B12" s="288"/>
      <c r="C12" s="288"/>
      <c r="D12" s="288"/>
      <c r="E12" s="289"/>
      <c r="F12" s="290"/>
      <c r="G12" s="289"/>
      <c r="H12" s="290"/>
      <c r="I12" s="289"/>
      <c r="J12" s="290"/>
      <c r="K12" s="289"/>
      <c r="L12" s="290"/>
      <c r="M12" s="288"/>
      <c r="N12" s="1" t="s">
        <v>67</v>
      </c>
    </row>
    <row r="13" spans="1:51" ht="30" customHeight="1">
      <c r="A13" s="249" t="s">
        <v>196</v>
      </c>
      <c r="B13" s="249" t="s">
        <v>197</v>
      </c>
      <c r="C13" s="249" t="s">
        <v>74</v>
      </c>
      <c r="D13" s="251">
        <v>1.4E-2</v>
      </c>
      <c r="E13" s="252">
        <f>단가대비표!O24</f>
        <v>365375</v>
      </c>
      <c r="F13" s="250">
        <f>TRUNC(E13*D13,1)</f>
        <v>5115.2</v>
      </c>
      <c r="G13" s="252">
        <f>단가대비표!P24</f>
        <v>0</v>
      </c>
      <c r="H13" s="250">
        <f>TRUNC(G13*D13,1)</f>
        <v>0</v>
      </c>
      <c r="I13" s="252">
        <f>단가대비표!V24</f>
        <v>0</v>
      </c>
      <c r="J13" s="250">
        <f>TRUNC(I13*D13,1)</f>
        <v>0</v>
      </c>
      <c r="K13" s="252">
        <f t="shared" ref="K13:L15" si="1">TRUNC(E13+G13+I13,1)</f>
        <v>365375</v>
      </c>
      <c r="L13" s="250">
        <f t="shared" si="1"/>
        <v>5115.2</v>
      </c>
      <c r="M13" s="249" t="s">
        <v>52</v>
      </c>
      <c r="N13" s="2" t="s">
        <v>67</v>
      </c>
      <c r="O13" s="2" t="s">
        <v>198</v>
      </c>
      <c r="P13" s="2" t="s">
        <v>54</v>
      </c>
      <c r="Q13" s="2" t="s">
        <v>54</v>
      </c>
      <c r="R13" s="2" t="s">
        <v>60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52</v>
      </c>
      <c r="AW13" s="2" t="s">
        <v>213</v>
      </c>
      <c r="AX13" s="2" t="s">
        <v>52</v>
      </c>
      <c r="AY13" s="2" t="s">
        <v>52</v>
      </c>
    </row>
    <row r="14" spans="1:51" ht="30" customHeight="1">
      <c r="A14" s="8" t="s">
        <v>214</v>
      </c>
      <c r="B14" s="8" t="s">
        <v>187</v>
      </c>
      <c r="C14" s="8" t="s">
        <v>188</v>
      </c>
      <c r="D14" s="9">
        <v>0.15</v>
      </c>
      <c r="E14" s="11">
        <f>단가대비표!O37</f>
        <v>0</v>
      </c>
      <c r="F14" s="12">
        <f>TRUNC(E14*D14,1)</f>
        <v>0</v>
      </c>
      <c r="G14" s="193">
        <f>단가대비표!P37</f>
        <v>217895</v>
      </c>
      <c r="H14" s="12">
        <f>TRUNC(G14*D14,1)</f>
        <v>32684.2</v>
      </c>
      <c r="I14" s="11">
        <f>단가대비표!V37</f>
        <v>0</v>
      </c>
      <c r="J14" s="12">
        <f>TRUNC(I14*D14,1)</f>
        <v>0</v>
      </c>
      <c r="K14" s="11">
        <f t="shared" si="1"/>
        <v>217895</v>
      </c>
      <c r="L14" s="12">
        <f t="shared" si="1"/>
        <v>32684.2</v>
      </c>
      <c r="M14" s="8" t="s">
        <v>52</v>
      </c>
      <c r="N14" s="2" t="s">
        <v>67</v>
      </c>
      <c r="O14" s="2" t="s">
        <v>215</v>
      </c>
      <c r="P14" s="2" t="s">
        <v>54</v>
      </c>
      <c r="Q14" s="2" t="s">
        <v>54</v>
      </c>
      <c r="R14" s="2" t="s">
        <v>60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52</v>
      </c>
      <c r="AW14" s="2" t="s">
        <v>216</v>
      </c>
      <c r="AX14" s="2" t="s">
        <v>52</v>
      </c>
      <c r="AY14" s="2" t="s">
        <v>52</v>
      </c>
    </row>
    <row r="15" spans="1:51" ht="30" customHeight="1">
      <c r="A15" s="8" t="s">
        <v>186</v>
      </c>
      <c r="B15" s="8" t="s">
        <v>187</v>
      </c>
      <c r="C15" s="8" t="s">
        <v>188</v>
      </c>
      <c r="D15" s="9">
        <v>0.3</v>
      </c>
      <c r="E15" s="11">
        <f>단가대비표!O34</f>
        <v>0</v>
      </c>
      <c r="F15" s="12">
        <f>TRUNC(E15*D15,1)</f>
        <v>0</v>
      </c>
      <c r="G15" s="11">
        <f>단가대비표!P34</f>
        <v>138989</v>
      </c>
      <c r="H15" s="12">
        <f>TRUNC(G15*D15,1)</f>
        <v>41696.699999999997</v>
      </c>
      <c r="I15" s="11">
        <f>단가대비표!V34</f>
        <v>0</v>
      </c>
      <c r="J15" s="12">
        <f>TRUNC(I15*D15,1)</f>
        <v>0</v>
      </c>
      <c r="K15" s="11">
        <f t="shared" si="1"/>
        <v>138989</v>
      </c>
      <c r="L15" s="12">
        <f t="shared" si="1"/>
        <v>41696.699999999997</v>
      </c>
      <c r="M15" s="8" t="s">
        <v>52</v>
      </c>
      <c r="N15" s="2" t="s">
        <v>67</v>
      </c>
      <c r="O15" s="2" t="s">
        <v>189</v>
      </c>
      <c r="P15" s="2" t="s">
        <v>54</v>
      </c>
      <c r="Q15" s="2" t="s">
        <v>54</v>
      </c>
      <c r="R15" s="2" t="s">
        <v>60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217</v>
      </c>
      <c r="AX15" s="2" t="s">
        <v>52</v>
      </c>
      <c r="AY15" s="2" t="s">
        <v>52</v>
      </c>
    </row>
    <row r="16" spans="1:51" ht="30" customHeight="1">
      <c r="A16" s="8" t="s">
        <v>208</v>
      </c>
      <c r="B16" s="8" t="s">
        <v>52</v>
      </c>
      <c r="C16" s="8" t="s">
        <v>52</v>
      </c>
      <c r="D16" s="9"/>
      <c r="E16" s="11"/>
      <c r="F16" s="12">
        <f>TRUNC(SUMIF(N13:N15, N12, F13:F15),0)</f>
        <v>5115</v>
      </c>
      <c r="G16" s="11"/>
      <c r="H16" s="12">
        <f>TRUNC(SUMIF(N13:N15, N12, H13:H15),0)</f>
        <v>74380</v>
      </c>
      <c r="I16" s="11"/>
      <c r="J16" s="12">
        <f>TRUNC(SUMIF(N13:N15, N12, J13:J15),0)</f>
        <v>0</v>
      </c>
      <c r="K16" s="11"/>
      <c r="L16" s="12">
        <f>F16+H16+J16</f>
        <v>79495</v>
      </c>
      <c r="M16" s="8" t="s">
        <v>52</v>
      </c>
      <c r="N16" s="2" t="s">
        <v>209</v>
      </c>
      <c r="O16" s="2" t="s">
        <v>209</v>
      </c>
      <c r="P16" s="2" t="s">
        <v>52</v>
      </c>
      <c r="Q16" s="2" t="s">
        <v>52</v>
      </c>
      <c r="R16" s="2" t="s">
        <v>52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52</v>
      </c>
      <c r="AX16" s="2" t="s">
        <v>52</v>
      </c>
      <c r="AY16" s="2" t="s">
        <v>52</v>
      </c>
    </row>
    <row r="17" spans="1:51" ht="30" customHeight="1">
      <c r="A17" s="9"/>
      <c r="B17" s="9"/>
      <c r="C17" s="9"/>
      <c r="D17" s="9"/>
      <c r="E17" s="11"/>
      <c r="F17" s="12"/>
      <c r="G17" s="11"/>
      <c r="H17" s="12"/>
      <c r="I17" s="11"/>
      <c r="J17" s="12"/>
      <c r="K17" s="11"/>
      <c r="L17" s="12"/>
      <c r="M17" s="9"/>
    </row>
    <row r="18" spans="1:51" ht="30" customHeight="1">
      <c r="A18" s="288" t="s">
        <v>218</v>
      </c>
      <c r="B18" s="288"/>
      <c r="C18" s="288"/>
      <c r="D18" s="288"/>
      <c r="E18" s="289"/>
      <c r="F18" s="290"/>
      <c r="G18" s="289"/>
      <c r="H18" s="290"/>
      <c r="I18" s="289"/>
      <c r="J18" s="290"/>
      <c r="K18" s="289"/>
      <c r="L18" s="290"/>
      <c r="M18" s="288"/>
      <c r="N18" s="1" t="s">
        <v>70</v>
      </c>
    </row>
    <row r="19" spans="1:51" ht="30" customHeight="1">
      <c r="A19" s="249" t="s">
        <v>196</v>
      </c>
      <c r="B19" s="249" t="s">
        <v>197</v>
      </c>
      <c r="C19" s="249" t="s">
        <v>74</v>
      </c>
      <c r="D19" s="251">
        <v>2.1999999999999999E-2</v>
      </c>
      <c r="E19" s="252">
        <f>단가대비표!O24</f>
        <v>365375</v>
      </c>
      <c r="F19" s="250">
        <f>TRUNC(E19*D19,1)</f>
        <v>8038.2</v>
      </c>
      <c r="G19" s="252">
        <f>단가대비표!P24</f>
        <v>0</v>
      </c>
      <c r="H19" s="250">
        <f>TRUNC(G19*D19,1)</f>
        <v>0</v>
      </c>
      <c r="I19" s="252">
        <f>단가대비표!V24</f>
        <v>0</v>
      </c>
      <c r="J19" s="250">
        <f>TRUNC(I19*D19,1)</f>
        <v>0</v>
      </c>
      <c r="K19" s="252">
        <f t="shared" ref="K19:L21" si="2">TRUNC(E19+G19+I19,1)</f>
        <v>365375</v>
      </c>
      <c r="L19" s="250">
        <f t="shared" si="2"/>
        <v>8038.2</v>
      </c>
      <c r="M19" s="249" t="s">
        <v>52</v>
      </c>
      <c r="N19" s="2" t="s">
        <v>70</v>
      </c>
      <c r="O19" s="2" t="s">
        <v>198</v>
      </c>
      <c r="P19" s="2" t="s">
        <v>54</v>
      </c>
      <c r="Q19" s="2" t="s">
        <v>54</v>
      </c>
      <c r="R19" s="2" t="s">
        <v>60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52</v>
      </c>
      <c r="AW19" s="2" t="s">
        <v>220</v>
      </c>
      <c r="AX19" s="2" t="s">
        <v>52</v>
      </c>
      <c r="AY19" s="2" t="s">
        <v>52</v>
      </c>
    </row>
    <row r="20" spans="1:51" ht="30" customHeight="1">
      <c r="A20" s="8" t="s">
        <v>214</v>
      </c>
      <c r="B20" s="8" t="s">
        <v>187</v>
      </c>
      <c r="C20" s="8" t="s">
        <v>188</v>
      </c>
      <c r="D20" s="9">
        <v>0.3</v>
      </c>
      <c r="E20" s="11">
        <f>단가대비표!O37</f>
        <v>0</v>
      </c>
      <c r="F20" s="12">
        <f>TRUNC(E20*D20,1)</f>
        <v>0</v>
      </c>
      <c r="G20" s="193">
        <f>단가대비표!P37</f>
        <v>217895</v>
      </c>
      <c r="H20" s="12">
        <f>TRUNC(G20*D20,1)</f>
        <v>65368.5</v>
      </c>
      <c r="I20" s="11">
        <f>단가대비표!V37</f>
        <v>0</v>
      </c>
      <c r="J20" s="12">
        <f>TRUNC(I20*D20,1)</f>
        <v>0</v>
      </c>
      <c r="K20" s="11">
        <f t="shared" si="2"/>
        <v>217895</v>
      </c>
      <c r="L20" s="12">
        <f t="shared" si="2"/>
        <v>65368.5</v>
      </c>
      <c r="M20" s="8" t="s">
        <v>52</v>
      </c>
      <c r="N20" s="2" t="s">
        <v>70</v>
      </c>
      <c r="O20" s="2" t="s">
        <v>215</v>
      </c>
      <c r="P20" s="2" t="s">
        <v>54</v>
      </c>
      <c r="Q20" s="2" t="s">
        <v>54</v>
      </c>
      <c r="R20" s="2" t="s">
        <v>60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52</v>
      </c>
      <c r="AW20" s="2" t="s">
        <v>221</v>
      </c>
      <c r="AX20" s="2" t="s">
        <v>52</v>
      </c>
      <c r="AY20" s="2" t="s">
        <v>52</v>
      </c>
    </row>
    <row r="21" spans="1:51" ht="30" customHeight="1">
      <c r="A21" s="8" t="s">
        <v>186</v>
      </c>
      <c r="B21" s="8" t="s">
        <v>187</v>
      </c>
      <c r="C21" s="8" t="s">
        <v>188</v>
      </c>
      <c r="D21" s="9">
        <v>0.45</v>
      </c>
      <c r="E21" s="11">
        <f>단가대비표!O34</f>
        <v>0</v>
      </c>
      <c r="F21" s="12">
        <f>TRUNC(E21*D21,1)</f>
        <v>0</v>
      </c>
      <c r="G21" s="11">
        <f>단가대비표!P34</f>
        <v>138989</v>
      </c>
      <c r="H21" s="12">
        <f>TRUNC(G21*D21,1)</f>
        <v>62545</v>
      </c>
      <c r="I21" s="11">
        <f>단가대비표!V34</f>
        <v>0</v>
      </c>
      <c r="J21" s="12">
        <f>TRUNC(I21*D21,1)</f>
        <v>0</v>
      </c>
      <c r="K21" s="11">
        <f t="shared" si="2"/>
        <v>138989</v>
      </c>
      <c r="L21" s="12">
        <f t="shared" si="2"/>
        <v>62545</v>
      </c>
      <c r="M21" s="8" t="s">
        <v>52</v>
      </c>
      <c r="N21" s="2" t="s">
        <v>70</v>
      </c>
      <c r="O21" s="2" t="s">
        <v>189</v>
      </c>
      <c r="P21" s="2" t="s">
        <v>54</v>
      </c>
      <c r="Q21" s="2" t="s">
        <v>54</v>
      </c>
      <c r="R21" s="2" t="s">
        <v>60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222</v>
      </c>
      <c r="AX21" s="2" t="s">
        <v>52</v>
      </c>
      <c r="AY21" s="2" t="s">
        <v>52</v>
      </c>
    </row>
    <row r="22" spans="1:51" ht="30" customHeight="1">
      <c r="A22" s="8" t="s">
        <v>208</v>
      </c>
      <c r="B22" s="8" t="s">
        <v>52</v>
      </c>
      <c r="C22" s="8" t="s">
        <v>52</v>
      </c>
      <c r="D22" s="9"/>
      <c r="E22" s="11"/>
      <c r="F22" s="12">
        <f>TRUNC(SUMIF(N19:N21, N18, F19:F21),0)</f>
        <v>8038</v>
      </c>
      <c r="G22" s="11"/>
      <c r="H22" s="12">
        <f>TRUNC(SUMIF(N19:N21, N18, H19:H21),0)</f>
        <v>127913</v>
      </c>
      <c r="I22" s="11"/>
      <c r="J22" s="12">
        <f>TRUNC(SUMIF(N19:N21, N18, J19:J21),0)</f>
        <v>0</v>
      </c>
      <c r="K22" s="11"/>
      <c r="L22" s="12">
        <f>F22+H22+J22</f>
        <v>135951</v>
      </c>
      <c r="M22" s="8" t="s">
        <v>52</v>
      </c>
      <c r="N22" s="2" t="s">
        <v>209</v>
      </c>
      <c r="O22" s="2" t="s">
        <v>209</v>
      </c>
      <c r="P22" s="2" t="s">
        <v>52</v>
      </c>
      <c r="Q22" s="2" t="s">
        <v>52</v>
      </c>
      <c r="R22" s="2" t="s">
        <v>52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52</v>
      </c>
      <c r="AX22" s="2" t="s">
        <v>52</v>
      </c>
      <c r="AY22" s="2" t="s">
        <v>52</v>
      </c>
    </row>
    <row r="23" spans="1:51" ht="30" customHeight="1">
      <c r="A23" s="9"/>
      <c r="B23" s="9"/>
      <c r="C23" s="9"/>
      <c r="D23" s="9"/>
      <c r="E23" s="11"/>
      <c r="F23" s="12"/>
      <c r="G23" s="11"/>
      <c r="H23" s="12"/>
      <c r="I23" s="11"/>
      <c r="J23" s="12"/>
      <c r="K23" s="11"/>
      <c r="L23" s="12"/>
      <c r="M23" s="9"/>
    </row>
    <row r="24" spans="1:51" ht="30" customHeight="1">
      <c r="A24" s="288" t="s">
        <v>223</v>
      </c>
      <c r="B24" s="288"/>
      <c r="C24" s="288"/>
      <c r="D24" s="288"/>
      <c r="E24" s="289"/>
      <c r="F24" s="290"/>
      <c r="G24" s="289"/>
      <c r="H24" s="290"/>
      <c r="I24" s="289"/>
      <c r="J24" s="290"/>
      <c r="K24" s="289"/>
      <c r="L24" s="290"/>
      <c r="M24" s="288"/>
      <c r="N24" s="1" t="s">
        <v>102</v>
      </c>
    </row>
    <row r="25" spans="1:51" ht="30" customHeight="1">
      <c r="A25" s="8" t="s">
        <v>225</v>
      </c>
      <c r="B25" s="8" t="s">
        <v>226</v>
      </c>
      <c r="C25" s="8" t="s">
        <v>74</v>
      </c>
      <c r="D25" s="9">
        <v>0.62</v>
      </c>
      <c r="E25" s="11">
        <f>일위대가목록!E15</f>
        <v>648</v>
      </c>
      <c r="F25" s="12">
        <f>TRUNC(E25*D25,1)</f>
        <v>401.7</v>
      </c>
      <c r="G25" s="11">
        <f>일위대가목록!F15</f>
        <v>7946</v>
      </c>
      <c r="H25" s="12">
        <f>TRUNC(G25*D25,1)</f>
        <v>4926.5</v>
      </c>
      <c r="I25" s="11">
        <f>일위대가목록!G15</f>
        <v>1005</v>
      </c>
      <c r="J25" s="12">
        <f>TRUNC(I25*D25,1)</f>
        <v>623.1</v>
      </c>
      <c r="K25" s="11">
        <f t="shared" ref="K25:L28" si="3">TRUNC(E25+G25+I25,1)</f>
        <v>9599</v>
      </c>
      <c r="L25" s="12">
        <f t="shared" si="3"/>
        <v>5951.3</v>
      </c>
      <c r="M25" s="8" t="s">
        <v>52</v>
      </c>
      <c r="N25" s="2" t="s">
        <v>102</v>
      </c>
      <c r="O25" s="2" t="s">
        <v>227</v>
      </c>
      <c r="P25" s="2" t="s">
        <v>60</v>
      </c>
      <c r="Q25" s="2" t="s">
        <v>54</v>
      </c>
      <c r="R25" s="2" t="s">
        <v>54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 t="s">
        <v>52</v>
      </c>
      <c r="AW25" s="2" t="s">
        <v>228</v>
      </c>
      <c r="AX25" s="2" t="s">
        <v>52</v>
      </c>
      <c r="AY25" s="2" t="s">
        <v>52</v>
      </c>
    </row>
    <row r="26" spans="1:51" ht="30" customHeight="1">
      <c r="A26" s="8" t="s">
        <v>229</v>
      </c>
      <c r="B26" s="8" t="s">
        <v>230</v>
      </c>
      <c r="C26" s="8" t="s">
        <v>74</v>
      </c>
      <c r="D26" s="9">
        <v>0.75</v>
      </c>
      <c r="E26" s="11">
        <f>일위대가목록!E16</f>
        <v>36744</v>
      </c>
      <c r="F26" s="12">
        <f>TRUNC(E26*D26,1)</f>
        <v>27558</v>
      </c>
      <c r="G26" s="11">
        <f>일위대가목록!F16</f>
        <v>87937</v>
      </c>
      <c r="H26" s="12">
        <f>TRUNC(G26*D26,1)</f>
        <v>65952.7</v>
      </c>
      <c r="I26" s="11">
        <f>일위대가목록!G16</f>
        <v>2521</v>
      </c>
      <c r="J26" s="12">
        <f>TRUNC(I26*D26,1)</f>
        <v>1890.7</v>
      </c>
      <c r="K26" s="11">
        <f t="shared" si="3"/>
        <v>127202</v>
      </c>
      <c r="L26" s="12">
        <f t="shared" si="3"/>
        <v>95401.4</v>
      </c>
      <c r="M26" s="8" t="s">
        <v>52</v>
      </c>
      <c r="N26" s="2" t="s">
        <v>102</v>
      </c>
      <c r="O26" s="2" t="s">
        <v>231</v>
      </c>
      <c r="P26" s="2" t="s">
        <v>60</v>
      </c>
      <c r="Q26" s="2" t="s">
        <v>54</v>
      </c>
      <c r="R26" s="2" t="s">
        <v>54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 t="s">
        <v>52</v>
      </c>
      <c r="AW26" s="2" t="s">
        <v>232</v>
      </c>
      <c r="AX26" s="2" t="s">
        <v>52</v>
      </c>
      <c r="AY26" s="2" t="s">
        <v>52</v>
      </c>
    </row>
    <row r="27" spans="1:51" ht="30" customHeight="1">
      <c r="A27" s="8" t="s">
        <v>233</v>
      </c>
      <c r="B27" s="8" t="s">
        <v>52</v>
      </c>
      <c r="C27" s="8" t="s">
        <v>74</v>
      </c>
      <c r="D27" s="9">
        <v>1.0900000000000001</v>
      </c>
      <c r="E27" s="11">
        <f>일위대가목록!E17</f>
        <v>31086</v>
      </c>
      <c r="F27" s="12">
        <f>TRUNC(E27*D27,1)</f>
        <v>33883.699999999997</v>
      </c>
      <c r="G27" s="11">
        <f>일위대가목록!F17</f>
        <v>318667</v>
      </c>
      <c r="H27" s="12">
        <f>TRUNC(G27*D27,1)</f>
        <v>347347</v>
      </c>
      <c r="I27" s="11">
        <f>일위대가목록!G17</f>
        <v>57423</v>
      </c>
      <c r="J27" s="12">
        <f>TRUNC(I27*D27,1)</f>
        <v>62591</v>
      </c>
      <c r="K27" s="11">
        <f t="shared" si="3"/>
        <v>407176</v>
      </c>
      <c r="L27" s="12">
        <f t="shared" si="3"/>
        <v>443821.7</v>
      </c>
      <c r="M27" s="8" t="s">
        <v>52</v>
      </c>
      <c r="N27" s="2" t="s">
        <v>102</v>
      </c>
      <c r="O27" s="2" t="s">
        <v>234</v>
      </c>
      <c r="P27" s="2" t="s">
        <v>60</v>
      </c>
      <c r="Q27" s="2" t="s">
        <v>54</v>
      </c>
      <c r="R27" s="2" t="s">
        <v>54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235</v>
      </c>
      <c r="AX27" s="2" t="s">
        <v>52</v>
      </c>
      <c r="AY27" s="2" t="s">
        <v>52</v>
      </c>
    </row>
    <row r="28" spans="1:51" ht="30" customHeight="1">
      <c r="A28" s="8" t="s">
        <v>236</v>
      </c>
      <c r="B28" s="8" t="s">
        <v>52</v>
      </c>
      <c r="C28" s="8" t="s">
        <v>74</v>
      </c>
      <c r="D28" s="9">
        <v>1.26</v>
      </c>
      <c r="E28" s="11">
        <f>일위대가목록!E18</f>
        <v>0</v>
      </c>
      <c r="F28" s="12">
        <f>TRUNC(E28*D28,1)</f>
        <v>0</v>
      </c>
      <c r="G28" s="11">
        <f>일위대가목록!F18</f>
        <v>240801</v>
      </c>
      <c r="H28" s="12">
        <f>TRUNC(G28*D28,1)</f>
        <v>303409.2</v>
      </c>
      <c r="I28" s="11">
        <f>일위대가목록!G18</f>
        <v>12040</v>
      </c>
      <c r="J28" s="12">
        <f>TRUNC(I28*D28,1)</f>
        <v>15170.4</v>
      </c>
      <c r="K28" s="11">
        <f t="shared" si="3"/>
        <v>252841</v>
      </c>
      <c r="L28" s="12">
        <f t="shared" si="3"/>
        <v>318579.59999999998</v>
      </c>
      <c r="M28" s="8" t="s">
        <v>52</v>
      </c>
      <c r="N28" s="2" t="s">
        <v>102</v>
      </c>
      <c r="O28" s="2" t="s">
        <v>237</v>
      </c>
      <c r="P28" s="2" t="s">
        <v>60</v>
      </c>
      <c r="Q28" s="2" t="s">
        <v>54</v>
      </c>
      <c r="R28" s="2" t="s">
        <v>54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238</v>
      </c>
      <c r="AX28" s="2" t="s">
        <v>52</v>
      </c>
      <c r="AY28" s="2" t="s">
        <v>52</v>
      </c>
    </row>
    <row r="29" spans="1:51" ht="30" customHeight="1">
      <c r="A29" s="8" t="s">
        <v>208</v>
      </c>
      <c r="B29" s="8" t="s">
        <v>52</v>
      </c>
      <c r="C29" s="8" t="s">
        <v>52</v>
      </c>
      <c r="D29" s="9"/>
      <c r="E29" s="11"/>
      <c r="F29" s="12">
        <f>TRUNC(SUMIF(N25:N28, N24, F25:F28),0)</f>
        <v>61843</v>
      </c>
      <c r="G29" s="11"/>
      <c r="H29" s="12">
        <f>TRUNC(SUMIF(N25:N28, N24, H25:H28),0)</f>
        <v>721635</v>
      </c>
      <c r="I29" s="11"/>
      <c r="J29" s="12">
        <f>TRUNC(SUMIF(N25:N28, N24, J25:J28),0)</f>
        <v>80275</v>
      </c>
      <c r="K29" s="11"/>
      <c r="L29" s="12">
        <f>F29+H29+J29</f>
        <v>863753</v>
      </c>
      <c r="M29" s="8" t="s">
        <v>52</v>
      </c>
      <c r="N29" s="2" t="s">
        <v>209</v>
      </c>
      <c r="O29" s="2" t="s">
        <v>209</v>
      </c>
      <c r="P29" s="2" t="s">
        <v>52</v>
      </c>
      <c r="Q29" s="2" t="s">
        <v>52</v>
      </c>
      <c r="R29" s="2" t="s">
        <v>52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52</v>
      </c>
      <c r="AX29" s="2" t="s">
        <v>52</v>
      </c>
      <c r="AY29" s="2" t="s">
        <v>52</v>
      </c>
    </row>
    <row r="30" spans="1:51" ht="30" customHeight="1">
      <c r="A30" s="9"/>
      <c r="B30" s="9"/>
      <c r="C30" s="9"/>
      <c r="D30" s="9"/>
      <c r="E30" s="11"/>
      <c r="F30" s="12"/>
      <c r="G30" s="11"/>
      <c r="H30" s="12"/>
      <c r="I30" s="11"/>
      <c r="J30" s="12"/>
      <c r="K30" s="11"/>
      <c r="L30" s="12"/>
      <c r="M30" s="9"/>
    </row>
    <row r="31" spans="1:51" ht="30" customHeight="1">
      <c r="A31" s="288" t="s">
        <v>239</v>
      </c>
      <c r="B31" s="288"/>
      <c r="C31" s="288"/>
      <c r="D31" s="288"/>
      <c r="E31" s="289"/>
      <c r="F31" s="290"/>
      <c r="G31" s="289"/>
      <c r="H31" s="290"/>
      <c r="I31" s="289"/>
      <c r="J31" s="290"/>
      <c r="K31" s="289"/>
      <c r="L31" s="290"/>
      <c r="M31" s="288"/>
      <c r="N31" s="1" t="s">
        <v>106</v>
      </c>
    </row>
    <row r="32" spans="1:51" ht="30" customHeight="1">
      <c r="A32" s="8" t="s">
        <v>241</v>
      </c>
      <c r="B32" s="8" t="s">
        <v>52</v>
      </c>
      <c r="C32" s="8" t="s">
        <v>105</v>
      </c>
      <c r="D32" s="9">
        <v>1</v>
      </c>
      <c r="E32" s="11">
        <f>일위대가목록!E22</f>
        <v>1925</v>
      </c>
      <c r="F32" s="12">
        <f>TRUNC(E32*D32,1)</f>
        <v>1925</v>
      </c>
      <c r="G32" s="11">
        <f>일위대가목록!F22</f>
        <v>621712</v>
      </c>
      <c r="H32" s="12">
        <f>TRUNC(G32*D32,1)</f>
        <v>621712</v>
      </c>
      <c r="I32" s="11">
        <f>일위대가목록!G22</f>
        <v>31085</v>
      </c>
      <c r="J32" s="12">
        <f>TRUNC(I32*D32,1)</f>
        <v>31085</v>
      </c>
      <c r="K32" s="11">
        <f>TRUNC(E32+G32+I32,1)</f>
        <v>654722</v>
      </c>
      <c r="L32" s="12">
        <f>TRUNC(F32+H32+J32,1)</f>
        <v>654722</v>
      </c>
      <c r="M32" s="8" t="s">
        <v>52</v>
      </c>
      <c r="N32" s="2" t="s">
        <v>106</v>
      </c>
      <c r="O32" s="2" t="s">
        <v>242</v>
      </c>
      <c r="P32" s="2" t="s">
        <v>60</v>
      </c>
      <c r="Q32" s="2" t="s">
        <v>54</v>
      </c>
      <c r="R32" s="2" t="s">
        <v>54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243</v>
      </c>
      <c r="AX32" s="2" t="s">
        <v>52</v>
      </c>
      <c r="AY32" s="2" t="s">
        <v>52</v>
      </c>
    </row>
    <row r="33" spans="1:51" ht="30" customHeight="1">
      <c r="A33" s="8" t="s">
        <v>803</v>
      </c>
      <c r="B33" s="8" t="s">
        <v>52</v>
      </c>
      <c r="C33" s="8" t="s">
        <v>74</v>
      </c>
      <c r="D33" s="9">
        <v>0.05</v>
      </c>
      <c r="E33" s="11">
        <f>일위대가목록!E23</f>
        <v>126100</v>
      </c>
      <c r="F33" s="12">
        <f>TRUNC(E33*D33,1)</f>
        <v>6305</v>
      </c>
      <c r="G33" s="11">
        <f>일위대가목록!F23</f>
        <v>165591</v>
      </c>
      <c r="H33" s="12">
        <f>TRUNC(G33*D33,1)</f>
        <v>8279.5</v>
      </c>
      <c r="I33" s="11">
        <f>일위대가목록!G23</f>
        <v>3311</v>
      </c>
      <c r="J33" s="12">
        <f>TRUNC(I33*D33,1)</f>
        <v>165.5</v>
      </c>
      <c r="K33" s="11">
        <f>TRUNC(E33+G33+I33,1)</f>
        <v>295002</v>
      </c>
      <c r="L33" s="12">
        <f>TRUNC(F33+H33+J33,1)</f>
        <v>14750</v>
      </c>
      <c r="M33" s="8" t="s">
        <v>52</v>
      </c>
      <c r="N33" s="2" t="s">
        <v>106</v>
      </c>
      <c r="O33" s="2" t="s">
        <v>245</v>
      </c>
      <c r="P33" s="2" t="s">
        <v>60</v>
      </c>
      <c r="Q33" s="2" t="s">
        <v>54</v>
      </c>
      <c r="R33" s="2" t="s">
        <v>54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246</v>
      </c>
      <c r="AX33" s="2" t="s">
        <v>52</v>
      </c>
      <c r="AY33" s="2" t="s">
        <v>52</v>
      </c>
    </row>
    <row r="34" spans="1:51" ht="30" customHeight="1">
      <c r="A34" s="8" t="s">
        <v>208</v>
      </c>
      <c r="B34" s="8" t="s">
        <v>52</v>
      </c>
      <c r="C34" s="8" t="s">
        <v>52</v>
      </c>
      <c r="D34" s="9"/>
      <c r="E34" s="11"/>
      <c r="F34" s="12">
        <f>TRUNC(SUMIF(N32:N33, N31, F32:F33),0)</f>
        <v>8230</v>
      </c>
      <c r="G34" s="11"/>
      <c r="H34" s="12">
        <f>TRUNC(SUMIF(N32:N33, N31, H32:H33),0)</f>
        <v>629991</v>
      </c>
      <c r="I34" s="11"/>
      <c r="J34" s="12">
        <f>TRUNC(SUMIF(N32:N33, N31, J32:J33),0)</f>
        <v>31250</v>
      </c>
      <c r="K34" s="11"/>
      <c r="L34" s="12">
        <f>F34+H34+J34</f>
        <v>669471</v>
      </c>
      <c r="M34" s="8" t="s">
        <v>52</v>
      </c>
      <c r="N34" s="2" t="s">
        <v>209</v>
      </c>
      <c r="O34" s="2" t="s">
        <v>209</v>
      </c>
      <c r="P34" s="2" t="s">
        <v>52</v>
      </c>
      <c r="Q34" s="2" t="s">
        <v>52</v>
      </c>
      <c r="R34" s="2" t="s">
        <v>52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52</v>
      </c>
      <c r="AX34" s="2" t="s">
        <v>52</v>
      </c>
      <c r="AY34" s="2" t="s">
        <v>52</v>
      </c>
    </row>
    <row r="35" spans="1:51" ht="30" customHeight="1">
      <c r="A35" s="9"/>
      <c r="B35" s="9"/>
      <c r="C35" s="9"/>
      <c r="D35" s="9"/>
      <c r="E35" s="11"/>
      <c r="F35" s="12"/>
      <c r="G35" s="11"/>
      <c r="H35" s="12"/>
      <c r="I35" s="11"/>
      <c r="J35" s="12"/>
      <c r="K35" s="11"/>
      <c r="L35" s="12"/>
      <c r="M35" s="9"/>
    </row>
    <row r="36" spans="1:51" ht="30" customHeight="1">
      <c r="A36" s="288" t="s">
        <v>247</v>
      </c>
      <c r="B36" s="288"/>
      <c r="C36" s="288"/>
      <c r="D36" s="288"/>
      <c r="E36" s="289"/>
      <c r="F36" s="290"/>
      <c r="G36" s="289"/>
      <c r="H36" s="290"/>
      <c r="I36" s="289"/>
      <c r="J36" s="290"/>
      <c r="K36" s="289"/>
      <c r="L36" s="290"/>
      <c r="M36" s="288"/>
      <c r="N36" s="1" t="s">
        <v>110</v>
      </c>
    </row>
    <row r="37" spans="1:51" ht="30" customHeight="1">
      <c r="A37" s="8" t="s">
        <v>233</v>
      </c>
      <c r="B37" s="8" t="s">
        <v>249</v>
      </c>
      <c r="C37" s="8" t="s">
        <v>74</v>
      </c>
      <c r="D37" s="9">
        <v>4.7300000000000004</v>
      </c>
      <c r="E37" s="11">
        <f>일위대가목록!E24</f>
        <v>31086</v>
      </c>
      <c r="F37" s="12">
        <f t="shared" ref="F37:F43" si="4">TRUNC(E37*D37,1)</f>
        <v>147036.70000000001</v>
      </c>
      <c r="G37" s="11">
        <f>일위대가목록!F24</f>
        <v>318667</v>
      </c>
      <c r="H37" s="12">
        <f t="shared" ref="H37:H43" si="5">TRUNC(G37*D37,1)</f>
        <v>1507294.9</v>
      </c>
      <c r="I37" s="11">
        <f>일위대가목록!G24</f>
        <v>57423</v>
      </c>
      <c r="J37" s="12">
        <f t="shared" ref="J37:J43" si="6">TRUNC(I37*D37,1)</f>
        <v>271610.7</v>
      </c>
      <c r="K37" s="11">
        <f t="shared" ref="K37:L43" si="7">TRUNC(E37+G37+I37,1)</f>
        <v>407176</v>
      </c>
      <c r="L37" s="12">
        <f t="shared" si="7"/>
        <v>1925942.3</v>
      </c>
      <c r="M37" s="8" t="s">
        <v>52</v>
      </c>
      <c r="N37" s="2" t="s">
        <v>110</v>
      </c>
      <c r="O37" s="2" t="s">
        <v>250</v>
      </c>
      <c r="P37" s="2" t="s">
        <v>60</v>
      </c>
      <c r="Q37" s="2" t="s">
        <v>54</v>
      </c>
      <c r="R37" s="2" t="s">
        <v>54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251</v>
      </c>
      <c r="AX37" s="2" t="s">
        <v>52</v>
      </c>
      <c r="AY37" s="2" t="s">
        <v>52</v>
      </c>
    </row>
    <row r="38" spans="1:51" ht="30" customHeight="1">
      <c r="A38" s="8" t="s">
        <v>233</v>
      </c>
      <c r="B38" s="8" t="s">
        <v>99</v>
      </c>
      <c r="C38" s="8" t="s">
        <v>74</v>
      </c>
      <c r="D38" s="9">
        <v>4.54</v>
      </c>
      <c r="E38" s="11">
        <f>일위대가목록!E25</f>
        <v>31086</v>
      </c>
      <c r="F38" s="12">
        <f t="shared" si="4"/>
        <v>141130.4</v>
      </c>
      <c r="G38" s="11">
        <f>일위대가목록!F25</f>
        <v>318667</v>
      </c>
      <c r="H38" s="12">
        <f t="shared" si="5"/>
        <v>1446748.1</v>
      </c>
      <c r="I38" s="11">
        <f>일위대가목록!G25</f>
        <v>57423</v>
      </c>
      <c r="J38" s="12">
        <f t="shared" si="6"/>
        <v>260700.4</v>
      </c>
      <c r="K38" s="11">
        <f t="shared" si="7"/>
        <v>407176</v>
      </c>
      <c r="L38" s="12">
        <f t="shared" si="7"/>
        <v>1848578.9</v>
      </c>
      <c r="M38" s="8" t="s">
        <v>52</v>
      </c>
      <c r="N38" s="2" t="s">
        <v>110</v>
      </c>
      <c r="O38" s="2" t="s">
        <v>252</v>
      </c>
      <c r="P38" s="2" t="s">
        <v>60</v>
      </c>
      <c r="Q38" s="2" t="s">
        <v>54</v>
      </c>
      <c r="R38" s="2" t="s">
        <v>54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253</v>
      </c>
      <c r="AX38" s="2" t="s">
        <v>52</v>
      </c>
      <c r="AY38" s="2" t="s">
        <v>52</v>
      </c>
    </row>
    <row r="39" spans="1:51" ht="30" customHeight="1">
      <c r="A39" s="8" t="s">
        <v>236</v>
      </c>
      <c r="B39" s="8" t="s">
        <v>52</v>
      </c>
      <c r="C39" s="8" t="s">
        <v>74</v>
      </c>
      <c r="D39" s="9">
        <v>8.4499999999999993</v>
      </c>
      <c r="E39" s="11">
        <f>일위대가목록!E18</f>
        <v>0</v>
      </c>
      <c r="F39" s="12">
        <f t="shared" si="4"/>
        <v>0</v>
      </c>
      <c r="G39" s="11">
        <f>일위대가목록!F18</f>
        <v>240801</v>
      </c>
      <c r="H39" s="12">
        <f t="shared" si="5"/>
        <v>2034768.4</v>
      </c>
      <c r="I39" s="11">
        <f>일위대가목록!G18</f>
        <v>12040</v>
      </c>
      <c r="J39" s="12">
        <f t="shared" si="6"/>
        <v>101738</v>
      </c>
      <c r="K39" s="11">
        <f t="shared" si="7"/>
        <v>252841</v>
      </c>
      <c r="L39" s="12">
        <f t="shared" si="7"/>
        <v>2136506.4</v>
      </c>
      <c r="M39" s="8" t="s">
        <v>52</v>
      </c>
      <c r="N39" s="2" t="s">
        <v>110</v>
      </c>
      <c r="O39" s="2" t="s">
        <v>237</v>
      </c>
      <c r="P39" s="2" t="s">
        <v>60</v>
      </c>
      <c r="Q39" s="2" t="s">
        <v>54</v>
      </c>
      <c r="R39" s="2" t="s">
        <v>54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254</v>
      </c>
      <c r="AX39" s="2" t="s">
        <v>52</v>
      </c>
      <c r="AY39" s="2" t="s">
        <v>52</v>
      </c>
    </row>
    <row r="40" spans="1:51" ht="30" customHeight="1">
      <c r="A40" s="8" t="s">
        <v>225</v>
      </c>
      <c r="B40" s="8" t="s">
        <v>226</v>
      </c>
      <c r="C40" s="8" t="s">
        <v>74</v>
      </c>
      <c r="D40" s="9">
        <v>2.62</v>
      </c>
      <c r="E40" s="11">
        <f>일위대가목록!E15</f>
        <v>648</v>
      </c>
      <c r="F40" s="12">
        <f t="shared" si="4"/>
        <v>1697.7</v>
      </c>
      <c r="G40" s="11">
        <f>일위대가목록!F15</f>
        <v>7946</v>
      </c>
      <c r="H40" s="12">
        <f t="shared" si="5"/>
        <v>20818.5</v>
      </c>
      <c r="I40" s="11">
        <f>일위대가목록!G15</f>
        <v>1005</v>
      </c>
      <c r="J40" s="12">
        <f t="shared" si="6"/>
        <v>2633.1</v>
      </c>
      <c r="K40" s="11">
        <f t="shared" si="7"/>
        <v>9599</v>
      </c>
      <c r="L40" s="12">
        <f t="shared" si="7"/>
        <v>25149.3</v>
      </c>
      <c r="M40" s="8" t="s">
        <v>52</v>
      </c>
      <c r="N40" s="2" t="s">
        <v>110</v>
      </c>
      <c r="O40" s="2" t="s">
        <v>227</v>
      </c>
      <c r="P40" s="2" t="s">
        <v>60</v>
      </c>
      <c r="Q40" s="2" t="s">
        <v>54</v>
      </c>
      <c r="R40" s="2" t="s">
        <v>54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 t="s">
        <v>52</v>
      </c>
      <c r="AW40" s="2" t="s">
        <v>255</v>
      </c>
      <c r="AX40" s="2" t="s">
        <v>52</v>
      </c>
      <c r="AY40" s="2" t="s">
        <v>52</v>
      </c>
    </row>
    <row r="41" spans="1:51" ht="30" customHeight="1">
      <c r="A41" s="8" t="s">
        <v>229</v>
      </c>
      <c r="B41" s="8" t="s">
        <v>230</v>
      </c>
      <c r="C41" s="8" t="s">
        <v>74</v>
      </c>
      <c r="D41" s="9">
        <v>3.74</v>
      </c>
      <c r="E41" s="11">
        <f>일위대가목록!E16</f>
        <v>36744</v>
      </c>
      <c r="F41" s="12">
        <f t="shared" si="4"/>
        <v>137422.5</v>
      </c>
      <c r="G41" s="11">
        <f>일위대가목록!F16</f>
        <v>87937</v>
      </c>
      <c r="H41" s="12">
        <f t="shared" si="5"/>
        <v>328884.3</v>
      </c>
      <c r="I41" s="11">
        <f>일위대가목록!G16</f>
        <v>2521</v>
      </c>
      <c r="J41" s="12">
        <f t="shared" si="6"/>
        <v>9428.5</v>
      </c>
      <c r="K41" s="11">
        <f t="shared" si="7"/>
        <v>127202</v>
      </c>
      <c r="L41" s="12">
        <f t="shared" si="7"/>
        <v>475735.3</v>
      </c>
      <c r="M41" s="8" t="s">
        <v>52</v>
      </c>
      <c r="N41" s="2" t="s">
        <v>110</v>
      </c>
      <c r="O41" s="2" t="s">
        <v>231</v>
      </c>
      <c r="P41" s="2" t="s">
        <v>60</v>
      </c>
      <c r="Q41" s="2" t="s">
        <v>54</v>
      </c>
      <c r="R41" s="2" t="s">
        <v>54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 t="s">
        <v>52</v>
      </c>
      <c r="AW41" s="2" t="s">
        <v>256</v>
      </c>
      <c r="AX41" s="2" t="s">
        <v>52</v>
      </c>
      <c r="AY41" s="2" t="s">
        <v>52</v>
      </c>
    </row>
    <row r="42" spans="1:51" ht="30" customHeight="1">
      <c r="A42" s="8" t="s">
        <v>244</v>
      </c>
      <c r="B42" s="8" t="s">
        <v>52</v>
      </c>
      <c r="C42" s="8" t="s">
        <v>74</v>
      </c>
      <c r="D42" s="9">
        <v>0.06</v>
      </c>
      <c r="E42" s="11">
        <f>일위대가목록!E23</f>
        <v>126100</v>
      </c>
      <c r="F42" s="12">
        <f t="shared" si="4"/>
        <v>7566</v>
      </c>
      <c r="G42" s="11">
        <f>일위대가목록!F23</f>
        <v>165591</v>
      </c>
      <c r="H42" s="12">
        <f t="shared" si="5"/>
        <v>9935.4</v>
      </c>
      <c r="I42" s="11">
        <f>일위대가목록!G23</f>
        <v>3311</v>
      </c>
      <c r="J42" s="12">
        <f t="shared" si="6"/>
        <v>198.6</v>
      </c>
      <c r="K42" s="11">
        <f t="shared" si="7"/>
        <v>295002</v>
      </c>
      <c r="L42" s="12">
        <f t="shared" si="7"/>
        <v>17700</v>
      </c>
      <c r="M42" s="8" t="s">
        <v>52</v>
      </c>
      <c r="N42" s="2" t="s">
        <v>110</v>
      </c>
      <c r="O42" s="2" t="s">
        <v>245</v>
      </c>
      <c r="P42" s="2" t="s">
        <v>60</v>
      </c>
      <c r="Q42" s="2" t="s">
        <v>54</v>
      </c>
      <c r="R42" s="2" t="s">
        <v>54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257</v>
      </c>
      <c r="AX42" s="2" t="s">
        <v>52</v>
      </c>
      <c r="AY42" s="2" t="s">
        <v>52</v>
      </c>
    </row>
    <row r="43" spans="1:51" ht="30" customHeight="1">
      <c r="A43" s="8" t="s">
        <v>241</v>
      </c>
      <c r="B43" s="8" t="s">
        <v>52</v>
      </c>
      <c r="C43" s="8" t="s">
        <v>105</v>
      </c>
      <c r="D43" s="9">
        <v>0.18</v>
      </c>
      <c r="E43" s="11">
        <f>일위대가목록!E22</f>
        <v>1925</v>
      </c>
      <c r="F43" s="12">
        <f t="shared" si="4"/>
        <v>346.5</v>
      </c>
      <c r="G43" s="11">
        <f>일위대가목록!F22</f>
        <v>621712</v>
      </c>
      <c r="H43" s="12">
        <f t="shared" si="5"/>
        <v>111908.1</v>
      </c>
      <c r="I43" s="11">
        <f>일위대가목록!G22</f>
        <v>31085</v>
      </c>
      <c r="J43" s="12">
        <f t="shared" si="6"/>
        <v>5595.3</v>
      </c>
      <c r="K43" s="11">
        <f t="shared" si="7"/>
        <v>654722</v>
      </c>
      <c r="L43" s="12">
        <f t="shared" si="7"/>
        <v>117849.9</v>
      </c>
      <c r="M43" s="8" t="s">
        <v>52</v>
      </c>
      <c r="N43" s="2" t="s">
        <v>110</v>
      </c>
      <c r="O43" s="2" t="s">
        <v>242</v>
      </c>
      <c r="P43" s="2" t="s">
        <v>60</v>
      </c>
      <c r="Q43" s="2" t="s">
        <v>54</v>
      </c>
      <c r="R43" s="2" t="s">
        <v>54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258</v>
      </c>
      <c r="AX43" s="2" t="s">
        <v>52</v>
      </c>
      <c r="AY43" s="2" t="s">
        <v>52</v>
      </c>
    </row>
    <row r="44" spans="1:51" ht="30" customHeight="1">
      <c r="A44" s="8" t="s">
        <v>208</v>
      </c>
      <c r="B44" s="8" t="s">
        <v>52</v>
      </c>
      <c r="C44" s="8" t="s">
        <v>52</v>
      </c>
      <c r="D44" s="9"/>
      <c r="E44" s="11"/>
      <c r="F44" s="12">
        <f>TRUNC(SUMIF(N37:N43, N36, F37:F43),0)</f>
        <v>435199</v>
      </c>
      <c r="G44" s="11"/>
      <c r="H44" s="12">
        <f>TRUNC(SUMIF(N37:N43, N36, H37:H43),0)</f>
        <v>5460357</v>
      </c>
      <c r="I44" s="11"/>
      <c r="J44" s="12">
        <f>TRUNC(SUMIF(N37:N43, N36, J37:J43),0)</f>
        <v>651904</v>
      </c>
      <c r="K44" s="11"/>
      <c r="L44" s="12">
        <f>F44+H44+J44</f>
        <v>6547460</v>
      </c>
      <c r="M44" s="8" t="s">
        <v>52</v>
      </c>
      <c r="N44" s="2" t="s">
        <v>209</v>
      </c>
      <c r="O44" s="2" t="s">
        <v>209</v>
      </c>
      <c r="P44" s="2" t="s">
        <v>52</v>
      </c>
      <c r="Q44" s="2" t="s">
        <v>52</v>
      </c>
      <c r="R44" s="2" t="s">
        <v>52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52</v>
      </c>
      <c r="AX44" s="2" t="s">
        <v>52</v>
      </c>
      <c r="AY44" s="2" t="s">
        <v>52</v>
      </c>
    </row>
    <row r="45" spans="1:51" ht="30" customHeight="1">
      <c r="A45" s="9"/>
      <c r="B45" s="9"/>
      <c r="C45" s="9"/>
      <c r="D45" s="9"/>
      <c r="E45" s="11"/>
      <c r="F45" s="12"/>
      <c r="G45" s="11"/>
      <c r="H45" s="12"/>
      <c r="I45" s="11"/>
      <c r="J45" s="12"/>
      <c r="K45" s="11"/>
      <c r="L45" s="12"/>
      <c r="M45" s="9"/>
    </row>
    <row r="46" spans="1:51" ht="30" customHeight="1">
      <c r="A46" s="288" t="s">
        <v>259</v>
      </c>
      <c r="B46" s="288"/>
      <c r="C46" s="288"/>
      <c r="D46" s="288"/>
      <c r="E46" s="289"/>
      <c r="F46" s="290"/>
      <c r="G46" s="289"/>
      <c r="H46" s="290"/>
      <c r="I46" s="289"/>
      <c r="J46" s="290"/>
      <c r="K46" s="289"/>
      <c r="L46" s="290"/>
      <c r="M46" s="288"/>
      <c r="N46" s="1" t="s">
        <v>114</v>
      </c>
    </row>
    <row r="47" spans="1:51" ht="30" customHeight="1">
      <c r="A47" s="8" t="s">
        <v>233</v>
      </c>
      <c r="B47" s="8" t="s">
        <v>52</v>
      </c>
      <c r="C47" s="8" t="s">
        <v>74</v>
      </c>
      <c r="D47" s="9">
        <v>4.7300000000000004</v>
      </c>
      <c r="E47" s="11">
        <f>일위대가목록!E17</f>
        <v>31086</v>
      </c>
      <c r="F47" s="12">
        <f t="shared" ref="F47:F54" si="8">TRUNC(E47*D47,1)</f>
        <v>147036.70000000001</v>
      </c>
      <c r="G47" s="11">
        <f>일위대가목록!F17</f>
        <v>318667</v>
      </c>
      <c r="H47" s="12">
        <f t="shared" ref="H47:H54" si="9">TRUNC(G47*D47,1)</f>
        <v>1507294.9</v>
      </c>
      <c r="I47" s="11">
        <f>일위대가목록!G17</f>
        <v>57423</v>
      </c>
      <c r="J47" s="12">
        <f t="shared" ref="J47:J54" si="10">TRUNC(I47*D47,1)</f>
        <v>271610.7</v>
      </c>
      <c r="K47" s="11">
        <f t="shared" ref="K47:L54" si="11">TRUNC(E47+G47+I47,1)</f>
        <v>407176</v>
      </c>
      <c r="L47" s="12">
        <f t="shared" si="11"/>
        <v>1925942.3</v>
      </c>
      <c r="M47" s="8" t="s">
        <v>52</v>
      </c>
      <c r="N47" s="2" t="s">
        <v>114</v>
      </c>
      <c r="O47" s="2" t="s">
        <v>234</v>
      </c>
      <c r="P47" s="2" t="s">
        <v>60</v>
      </c>
      <c r="Q47" s="2" t="s">
        <v>54</v>
      </c>
      <c r="R47" s="2" t="s">
        <v>54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 t="s">
        <v>52</v>
      </c>
      <c r="AW47" s="2" t="s">
        <v>261</v>
      </c>
      <c r="AX47" s="2" t="s">
        <v>52</v>
      </c>
      <c r="AY47" s="2" t="s">
        <v>52</v>
      </c>
    </row>
    <row r="48" spans="1:51" ht="30" customHeight="1">
      <c r="A48" s="8" t="s">
        <v>233</v>
      </c>
      <c r="B48" s="8" t="s">
        <v>99</v>
      </c>
      <c r="C48" s="8" t="s">
        <v>74</v>
      </c>
      <c r="D48" s="9">
        <v>5</v>
      </c>
      <c r="E48" s="11">
        <f>일위대가목록!E25</f>
        <v>31086</v>
      </c>
      <c r="F48" s="12">
        <f t="shared" si="8"/>
        <v>155430</v>
      </c>
      <c r="G48" s="11">
        <f>일위대가목록!F25</f>
        <v>318667</v>
      </c>
      <c r="H48" s="12">
        <f t="shared" si="9"/>
        <v>1593335</v>
      </c>
      <c r="I48" s="11">
        <f>일위대가목록!G25</f>
        <v>57423</v>
      </c>
      <c r="J48" s="12">
        <f t="shared" si="10"/>
        <v>287115</v>
      </c>
      <c r="K48" s="11">
        <f t="shared" si="11"/>
        <v>407176</v>
      </c>
      <c r="L48" s="12">
        <f t="shared" si="11"/>
        <v>2035880</v>
      </c>
      <c r="M48" s="8" t="s">
        <v>52</v>
      </c>
      <c r="N48" s="2" t="s">
        <v>114</v>
      </c>
      <c r="O48" s="2" t="s">
        <v>252</v>
      </c>
      <c r="P48" s="2" t="s">
        <v>60</v>
      </c>
      <c r="Q48" s="2" t="s">
        <v>54</v>
      </c>
      <c r="R48" s="2" t="s">
        <v>54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 t="s">
        <v>52</v>
      </c>
      <c r="AW48" s="2" t="s">
        <v>262</v>
      </c>
      <c r="AX48" s="2" t="s">
        <v>52</v>
      </c>
      <c r="AY48" s="2" t="s">
        <v>52</v>
      </c>
    </row>
    <row r="49" spans="1:51" ht="30" customHeight="1">
      <c r="A49" s="8" t="s">
        <v>236</v>
      </c>
      <c r="B49" s="8" t="s">
        <v>52</v>
      </c>
      <c r="C49" s="8" t="s">
        <v>74</v>
      </c>
      <c r="D49" s="9">
        <v>8.9</v>
      </c>
      <c r="E49" s="11">
        <f>일위대가목록!E18</f>
        <v>0</v>
      </c>
      <c r="F49" s="12">
        <f t="shared" si="8"/>
        <v>0</v>
      </c>
      <c r="G49" s="11">
        <f>일위대가목록!F18</f>
        <v>240801</v>
      </c>
      <c r="H49" s="12">
        <f t="shared" si="9"/>
        <v>2143128.9</v>
      </c>
      <c r="I49" s="11">
        <f>일위대가목록!G18</f>
        <v>12040</v>
      </c>
      <c r="J49" s="12">
        <f t="shared" si="10"/>
        <v>107156</v>
      </c>
      <c r="K49" s="11">
        <f t="shared" si="11"/>
        <v>252841</v>
      </c>
      <c r="L49" s="12">
        <f t="shared" si="11"/>
        <v>2250284.9</v>
      </c>
      <c r="M49" s="8" t="s">
        <v>52</v>
      </c>
      <c r="N49" s="2" t="s">
        <v>114</v>
      </c>
      <c r="O49" s="2" t="s">
        <v>237</v>
      </c>
      <c r="P49" s="2" t="s">
        <v>60</v>
      </c>
      <c r="Q49" s="2" t="s">
        <v>54</v>
      </c>
      <c r="R49" s="2" t="s">
        <v>54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263</v>
      </c>
      <c r="AX49" s="2" t="s">
        <v>52</v>
      </c>
      <c r="AY49" s="2" t="s">
        <v>52</v>
      </c>
    </row>
    <row r="50" spans="1:51" ht="30" customHeight="1">
      <c r="A50" s="8" t="s">
        <v>225</v>
      </c>
      <c r="B50" s="8" t="s">
        <v>226</v>
      </c>
      <c r="C50" s="8" t="s">
        <v>74</v>
      </c>
      <c r="D50" s="9">
        <v>3.13</v>
      </c>
      <c r="E50" s="11">
        <f>일위대가목록!E15</f>
        <v>648</v>
      </c>
      <c r="F50" s="12">
        <f t="shared" si="8"/>
        <v>2028.2</v>
      </c>
      <c r="G50" s="11">
        <f>일위대가목록!F15</f>
        <v>7946</v>
      </c>
      <c r="H50" s="12">
        <f t="shared" si="9"/>
        <v>24870.9</v>
      </c>
      <c r="I50" s="11">
        <f>일위대가목록!G15</f>
        <v>1005</v>
      </c>
      <c r="J50" s="12">
        <f t="shared" si="10"/>
        <v>3145.6</v>
      </c>
      <c r="K50" s="11">
        <f t="shared" si="11"/>
        <v>9599</v>
      </c>
      <c r="L50" s="12">
        <f t="shared" si="11"/>
        <v>30044.7</v>
      </c>
      <c r="M50" s="8" t="s">
        <v>52</v>
      </c>
      <c r="N50" s="2" t="s">
        <v>114</v>
      </c>
      <c r="O50" s="2" t="s">
        <v>227</v>
      </c>
      <c r="P50" s="2" t="s">
        <v>60</v>
      </c>
      <c r="Q50" s="2" t="s">
        <v>54</v>
      </c>
      <c r="R50" s="2" t="s">
        <v>54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264</v>
      </c>
      <c r="AX50" s="2" t="s">
        <v>52</v>
      </c>
      <c r="AY50" s="2" t="s">
        <v>52</v>
      </c>
    </row>
    <row r="51" spans="1:51" ht="30" customHeight="1">
      <c r="A51" s="8" t="s">
        <v>265</v>
      </c>
      <c r="B51" s="8" t="s">
        <v>52</v>
      </c>
      <c r="C51" s="8" t="s">
        <v>74</v>
      </c>
      <c r="D51" s="9">
        <v>4.2</v>
      </c>
      <c r="E51" s="11">
        <f>일위대가목록!E26</f>
        <v>22400</v>
      </c>
      <c r="F51" s="12">
        <f t="shared" si="8"/>
        <v>94080</v>
      </c>
      <c r="G51" s="11">
        <f>일위대가목록!F26</f>
        <v>180685</v>
      </c>
      <c r="H51" s="12">
        <f t="shared" si="9"/>
        <v>758877</v>
      </c>
      <c r="I51" s="11">
        <f>일위대가목록!G26</f>
        <v>3613</v>
      </c>
      <c r="J51" s="12">
        <f t="shared" si="10"/>
        <v>15174.6</v>
      </c>
      <c r="K51" s="11">
        <f t="shared" si="11"/>
        <v>206698</v>
      </c>
      <c r="L51" s="12">
        <f t="shared" si="11"/>
        <v>868131.6</v>
      </c>
      <c r="M51" s="8" t="s">
        <v>52</v>
      </c>
      <c r="N51" s="2" t="s">
        <v>114</v>
      </c>
      <c r="O51" s="2" t="s">
        <v>266</v>
      </c>
      <c r="P51" s="2" t="s">
        <v>60</v>
      </c>
      <c r="Q51" s="2" t="s">
        <v>54</v>
      </c>
      <c r="R51" s="2" t="s">
        <v>54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267</v>
      </c>
      <c r="AX51" s="2" t="s">
        <v>52</v>
      </c>
      <c r="AY51" s="2" t="s">
        <v>52</v>
      </c>
    </row>
    <row r="52" spans="1:51" ht="30" customHeight="1">
      <c r="A52" s="8" t="s">
        <v>804</v>
      </c>
      <c r="B52" s="8" t="s">
        <v>52</v>
      </c>
      <c r="C52" s="8" t="s">
        <v>74</v>
      </c>
      <c r="D52" s="9">
        <v>0.06</v>
      </c>
      <c r="E52" s="11">
        <f>일위대가목록!E23</f>
        <v>126100</v>
      </c>
      <c r="F52" s="12">
        <f t="shared" si="8"/>
        <v>7566</v>
      </c>
      <c r="G52" s="11">
        <f>일위대가목록!F23</f>
        <v>165591</v>
      </c>
      <c r="H52" s="12">
        <f t="shared" si="9"/>
        <v>9935.4</v>
      </c>
      <c r="I52" s="11">
        <f>일위대가목록!G23</f>
        <v>3311</v>
      </c>
      <c r="J52" s="12">
        <f t="shared" si="10"/>
        <v>198.6</v>
      </c>
      <c r="K52" s="11">
        <f t="shared" si="11"/>
        <v>295002</v>
      </c>
      <c r="L52" s="12">
        <f t="shared" si="11"/>
        <v>17700</v>
      </c>
      <c r="M52" s="8" t="s">
        <v>52</v>
      </c>
      <c r="N52" s="2" t="s">
        <v>114</v>
      </c>
      <c r="O52" s="2" t="s">
        <v>245</v>
      </c>
      <c r="P52" s="2" t="s">
        <v>60</v>
      </c>
      <c r="Q52" s="2" t="s">
        <v>54</v>
      </c>
      <c r="R52" s="2" t="s">
        <v>54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268</v>
      </c>
      <c r="AX52" s="2" t="s">
        <v>52</v>
      </c>
      <c r="AY52" s="2" t="s">
        <v>52</v>
      </c>
    </row>
    <row r="53" spans="1:51" ht="30" customHeight="1">
      <c r="A53" s="8" t="s">
        <v>241</v>
      </c>
      <c r="B53" s="8" t="s">
        <v>52</v>
      </c>
      <c r="C53" s="8" t="s">
        <v>105</v>
      </c>
      <c r="D53" s="9">
        <v>0.18</v>
      </c>
      <c r="E53" s="11">
        <f>일위대가목록!E22</f>
        <v>1925</v>
      </c>
      <c r="F53" s="12">
        <f t="shared" si="8"/>
        <v>346.5</v>
      </c>
      <c r="G53" s="11">
        <f>일위대가목록!F22</f>
        <v>621712</v>
      </c>
      <c r="H53" s="12">
        <f t="shared" si="9"/>
        <v>111908.1</v>
      </c>
      <c r="I53" s="11">
        <f>일위대가목록!G22</f>
        <v>31085</v>
      </c>
      <c r="J53" s="12">
        <f t="shared" si="10"/>
        <v>5595.3</v>
      </c>
      <c r="K53" s="11">
        <f t="shared" si="11"/>
        <v>654722</v>
      </c>
      <c r="L53" s="12">
        <f t="shared" si="11"/>
        <v>117849.9</v>
      </c>
      <c r="M53" s="8" t="s">
        <v>52</v>
      </c>
      <c r="N53" s="2" t="s">
        <v>114</v>
      </c>
      <c r="O53" s="2" t="s">
        <v>242</v>
      </c>
      <c r="P53" s="2" t="s">
        <v>60</v>
      </c>
      <c r="Q53" s="2" t="s">
        <v>54</v>
      </c>
      <c r="R53" s="2" t="s">
        <v>54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269</v>
      </c>
      <c r="AX53" s="2" t="s">
        <v>52</v>
      </c>
      <c r="AY53" s="2" t="s">
        <v>52</v>
      </c>
    </row>
    <row r="54" spans="1:51" ht="30" customHeight="1">
      <c r="A54" s="8" t="s">
        <v>270</v>
      </c>
      <c r="B54" s="8" t="s">
        <v>271</v>
      </c>
      <c r="C54" s="8" t="s">
        <v>105</v>
      </c>
      <c r="D54" s="9">
        <v>5.82</v>
      </c>
      <c r="E54" s="11">
        <f>일위대가목록!E27</f>
        <v>7872</v>
      </c>
      <c r="F54" s="12">
        <f t="shared" si="8"/>
        <v>45815</v>
      </c>
      <c r="G54" s="11">
        <f>일위대가목록!F27</f>
        <v>24860</v>
      </c>
      <c r="H54" s="12">
        <f t="shared" si="9"/>
        <v>144685.20000000001</v>
      </c>
      <c r="I54" s="11">
        <f>일위대가목록!G27</f>
        <v>248</v>
      </c>
      <c r="J54" s="12">
        <f t="shared" si="10"/>
        <v>1443.3</v>
      </c>
      <c r="K54" s="11">
        <f t="shared" si="11"/>
        <v>32980</v>
      </c>
      <c r="L54" s="12">
        <f t="shared" si="11"/>
        <v>191943.5</v>
      </c>
      <c r="M54" s="8" t="s">
        <v>52</v>
      </c>
      <c r="N54" s="2" t="s">
        <v>114</v>
      </c>
      <c r="O54" s="2" t="s">
        <v>272</v>
      </c>
      <c r="P54" s="2" t="s">
        <v>60</v>
      </c>
      <c r="Q54" s="2" t="s">
        <v>54</v>
      </c>
      <c r="R54" s="2" t="s">
        <v>54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52</v>
      </c>
      <c r="AW54" s="2" t="s">
        <v>273</v>
      </c>
      <c r="AX54" s="2" t="s">
        <v>52</v>
      </c>
      <c r="AY54" s="2" t="s">
        <v>52</v>
      </c>
    </row>
    <row r="55" spans="1:51" ht="30" customHeight="1">
      <c r="A55" s="8" t="s">
        <v>208</v>
      </c>
      <c r="B55" s="8" t="s">
        <v>52</v>
      </c>
      <c r="C55" s="8" t="s">
        <v>52</v>
      </c>
      <c r="D55" s="9"/>
      <c r="E55" s="11"/>
      <c r="F55" s="12">
        <f>TRUNC(SUMIF(N47:N54, N46, F47:F54),0)</f>
        <v>452302</v>
      </c>
      <c r="G55" s="11"/>
      <c r="H55" s="12">
        <f>TRUNC(SUMIF(N47:N54, N46, H47:H54),0)</f>
        <v>6294035</v>
      </c>
      <c r="I55" s="11"/>
      <c r="J55" s="12">
        <f>TRUNC(SUMIF(N47:N54, N46, J47:J54),0)</f>
        <v>691439</v>
      </c>
      <c r="K55" s="11"/>
      <c r="L55" s="12">
        <f>F55+H55+J55</f>
        <v>7437776</v>
      </c>
      <c r="M55" s="8" t="s">
        <v>52</v>
      </c>
      <c r="N55" s="2" t="s">
        <v>209</v>
      </c>
      <c r="O55" s="2" t="s">
        <v>209</v>
      </c>
      <c r="P55" s="2" t="s">
        <v>52</v>
      </c>
      <c r="Q55" s="2" t="s">
        <v>52</v>
      </c>
      <c r="R55" s="2" t="s">
        <v>52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 t="s">
        <v>52</v>
      </c>
      <c r="AW55" s="2" t="s">
        <v>52</v>
      </c>
      <c r="AX55" s="2" t="s">
        <v>52</v>
      </c>
      <c r="AY55" s="2" t="s">
        <v>52</v>
      </c>
    </row>
    <row r="56" spans="1:51" ht="30" customHeight="1">
      <c r="A56" s="9"/>
      <c r="B56" s="9"/>
      <c r="C56" s="9"/>
      <c r="D56" s="9"/>
      <c r="E56" s="11"/>
      <c r="F56" s="12"/>
      <c r="G56" s="11"/>
      <c r="H56" s="12"/>
      <c r="I56" s="11"/>
      <c r="J56" s="12"/>
      <c r="K56" s="11"/>
      <c r="L56" s="12"/>
      <c r="M56" s="9"/>
    </row>
    <row r="57" spans="1:51" ht="30" customHeight="1">
      <c r="A57" s="288" t="s">
        <v>274</v>
      </c>
      <c r="B57" s="288"/>
      <c r="C57" s="288"/>
      <c r="D57" s="288"/>
      <c r="E57" s="289"/>
      <c r="F57" s="290"/>
      <c r="G57" s="289"/>
      <c r="H57" s="290"/>
      <c r="I57" s="289"/>
      <c r="J57" s="290"/>
      <c r="K57" s="289"/>
      <c r="L57" s="290"/>
      <c r="M57" s="288"/>
      <c r="N57" s="1" t="s">
        <v>128</v>
      </c>
    </row>
    <row r="58" spans="1:51" ht="30" customHeight="1">
      <c r="A58" s="8" t="s">
        <v>277</v>
      </c>
      <c r="B58" s="8" t="s">
        <v>187</v>
      </c>
      <c r="C58" s="8" t="s">
        <v>188</v>
      </c>
      <c r="D58" s="9">
        <v>1.4E-2</v>
      </c>
      <c r="E58" s="11">
        <f>단가대비표!O35</f>
        <v>0</v>
      </c>
      <c r="F58" s="12">
        <f>TRUNC(E58*D58,1)</f>
        <v>0</v>
      </c>
      <c r="G58" s="193">
        <f>단가대비표!P35</f>
        <v>167926</v>
      </c>
      <c r="H58" s="12">
        <f>TRUNC(G58*D58,1)</f>
        <v>2350.9</v>
      </c>
      <c r="I58" s="11">
        <f>단가대비표!V35</f>
        <v>0</v>
      </c>
      <c r="J58" s="12">
        <f>TRUNC(I58*D58,1)</f>
        <v>0</v>
      </c>
      <c r="K58" s="11">
        <f t="shared" ref="K58:L60" si="12">TRUNC(E58+G58+I58,1)</f>
        <v>167926</v>
      </c>
      <c r="L58" s="12">
        <f t="shared" si="12"/>
        <v>2350.9</v>
      </c>
      <c r="M58" s="8" t="s">
        <v>52</v>
      </c>
      <c r="N58" s="2" t="s">
        <v>128</v>
      </c>
      <c r="O58" s="2" t="s">
        <v>278</v>
      </c>
      <c r="P58" s="2" t="s">
        <v>54</v>
      </c>
      <c r="Q58" s="2" t="s">
        <v>54</v>
      </c>
      <c r="R58" s="2" t="s">
        <v>60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279</v>
      </c>
      <c r="AX58" s="2" t="s">
        <v>52</v>
      </c>
      <c r="AY58" s="2" t="s">
        <v>52</v>
      </c>
    </row>
    <row r="59" spans="1:51" ht="30" customHeight="1">
      <c r="A59" s="8" t="s">
        <v>186</v>
      </c>
      <c r="B59" s="8" t="s">
        <v>187</v>
      </c>
      <c r="C59" s="8" t="s">
        <v>188</v>
      </c>
      <c r="D59" s="9">
        <v>3.0000000000000001E-3</v>
      </c>
      <c r="E59" s="11">
        <f>단가대비표!O34</f>
        <v>0</v>
      </c>
      <c r="F59" s="12">
        <f>TRUNC(E59*D59,1)</f>
        <v>0</v>
      </c>
      <c r="G59" s="11">
        <f>단가대비표!P34</f>
        <v>138989</v>
      </c>
      <c r="H59" s="12">
        <f>TRUNC(G59*D59,1)</f>
        <v>416.9</v>
      </c>
      <c r="I59" s="11">
        <f>단가대비표!V34</f>
        <v>0</v>
      </c>
      <c r="J59" s="12">
        <f>TRUNC(I59*D59,1)</f>
        <v>0</v>
      </c>
      <c r="K59" s="11">
        <f t="shared" si="12"/>
        <v>138989</v>
      </c>
      <c r="L59" s="12">
        <f t="shared" si="12"/>
        <v>416.9</v>
      </c>
      <c r="M59" s="8" t="s">
        <v>52</v>
      </c>
      <c r="N59" s="2" t="s">
        <v>128</v>
      </c>
      <c r="O59" s="2" t="s">
        <v>189</v>
      </c>
      <c r="P59" s="2" t="s">
        <v>54</v>
      </c>
      <c r="Q59" s="2" t="s">
        <v>54</v>
      </c>
      <c r="R59" s="2" t="s">
        <v>60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280</v>
      </c>
      <c r="AX59" s="2" t="s">
        <v>52</v>
      </c>
      <c r="AY59" s="2" t="s">
        <v>52</v>
      </c>
    </row>
    <row r="60" spans="1:51" ht="30" customHeight="1">
      <c r="A60" s="8" t="s">
        <v>281</v>
      </c>
      <c r="B60" s="8" t="s">
        <v>282</v>
      </c>
      <c r="C60" s="8" t="s">
        <v>58</v>
      </c>
      <c r="D60" s="9">
        <v>2</v>
      </c>
      <c r="E60" s="11">
        <f>단가대비표!O47</f>
        <v>600</v>
      </c>
      <c r="F60" s="12">
        <f>TRUNC(E60*D60,1)</f>
        <v>1200</v>
      </c>
      <c r="G60" s="11">
        <f>단가대비표!P47</f>
        <v>0</v>
      </c>
      <c r="H60" s="12">
        <f>TRUNC(G60*D60,1)</f>
        <v>0</v>
      </c>
      <c r="I60" s="11">
        <f>단가대비표!V47</f>
        <v>0</v>
      </c>
      <c r="J60" s="12">
        <f>TRUNC(I60*D60,1)</f>
        <v>0</v>
      </c>
      <c r="K60" s="11">
        <f t="shared" si="12"/>
        <v>600</v>
      </c>
      <c r="L60" s="12">
        <f t="shared" si="12"/>
        <v>1200</v>
      </c>
      <c r="M60" s="8" t="s">
        <v>52</v>
      </c>
      <c r="N60" s="2" t="s">
        <v>128</v>
      </c>
      <c r="O60" s="2" t="s">
        <v>283</v>
      </c>
      <c r="P60" s="2" t="s">
        <v>54</v>
      </c>
      <c r="Q60" s="2" t="s">
        <v>54</v>
      </c>
      <c r="R60" s="2" t="s">
        <v>60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284</v>
      </c>
      <c r="AX60" s="2" t="s">
        <v>52</v>
      </c>
      <c r="AY60" s="2" t="s">
        <v>52</v>
      </c>
    </row>
    <row r="61" spans="1:51" ht="30" customHeight="1">
      <c r="A61" s="8" t="s">
        <v>208</v>
      </c>
      <c r="B61" s="8" t="s">
        <v>52</v>
      </c>
      <c r="C61" s="8" t="s">
        <v>52</v>
      </c>
      <c r="D61" s="9"/>
      <c r="E61" s="11"/>
      <c r="F61" s="12">
        <f>TRUNC(SUMIF(N58:N60, N57, F58:F60),0)</f>
        <v>1200</v>
      </c>
      <c r="G61" s="11"/>
      <c r="H61" s="12">
        <f>TRUNC(SUMIF(N58:N60, N57, H58:H60),0)</f>
        <v>2767</v>
      </c>
      <c r="I61" s="11"/>
      <c r="J61" s="12">
        <f>TRUNC(SUMIF(N58:N60, N57, J58:J60),0)</f>
        <v>0</v>
      </c>
      <c r="K61" s="11"/>
      <c r="L61" s="12">
        <f>F61+H61+J61</f>
        <v>3967</v>
      </c>
      <c r="M61" s="8" t="s">
        <v>52</v>
      </c>
      <c r="N61" s="2" t="s">
        <v>209</v>
      </c>
      <c r="O61" s="2" t="s">
        <v>209</v>
      </c>
      <c r="P61" s="2" t="s">
        <v>52</v>
      </c>
      <c r="Q61" s="2" t="s">
        <v>52</v>
      </c>
      <c r="R61" s="2" t="s">
        <v>52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 t="s">
        <v>52</v>
      </c>
      <c r="AW61" s="2" t="s">
        <v>52</v>
      </c>
      <c r="AX61" s="2" t="s">
        <v>52</v>
      </c>
      <c r="AY61" s="2" t="s">
        <v>52</v>
      </c>
    </row>
    <row r="62" spans="1:51" ht="30" customHeight="1">
      <c r="A62" s="9"/>
      <c r="B62" s="9"/>
      <c r="C62" s="9"/>
      <c r="D62" s="9"/>
      <c r="E62" s="11"/>
      <c r="F62" s="12"/>
      <c r="G62" s="11"/>
      <c r="H62" s="12"/>
      <c r="I62" s="11"/>
      <c r="J62" s="12"/>
      <c r="K62" s="11"/>
      <c r="L62" s="12"/>
      <c r="M62" s="9"/>
    </row>
    <row r="63" spans="1:51" ht="30" customHeight="1">
      <c r="A63" s="288" t="s">
        <v>285</v>
      </c>
      <c r="B63" s="288"/>
      <c r="C63" s="288"/>
      <c r="D63" s="288"/>
      <c r="E63" s="289"/>
      <c r="F63" s="290"/>
      <c r="G63" s="289"/>
      <c r="H63" s="290"/>
      <c r="I63" s="289"/>
      <c r="J63" s="290"/>
      <c r="K63" s="289"/>
      <c r="L63" s="290"/>
      <c r="M63" s="288"/>
      <c r="N63" s="1" t="s">
        <v>162</v>
      </c>
    </row>
    <row r="64" spans="1:51" ht="30" customHeight="1">
      <c r="A64" s="8" t="s">
        <v>287</v>
      </c>
      <c r="B64" s="8" t="s">
        <v>288</v>
      </c>
      <c r="C64" s="8" t="s">
        <v>161</v>
      </c>
      <c r="D64" s="9">
        <v>1</v>
      </c>
      <c r="E64" s="11">
        <f>단가대비표!O20</f>
        <v>0</v>
      </c>
      <c r="F64" s="12">
        <f>TRUNC(E64*D64,1)</f>
        <v>0</v>
      </c>
      <c r="G64" s="11">
        <f>단가대비표!P20</f>
        <v>0</v>
      </c>
      <c r="H64" s="12">
        <f>TRUNC(G64*D64,1)</f>
        <v>0</v>
      </c>
      <c r="I64" s="11">
        <f>단가대비표!V20</f>
        <v>10050</v>
      </c>
      <c r="J64" s="12">
        <f>TRUNC(I64*D64,1)</f>
        <v>10050</v>
      </c>
      <c r="K64" s="11">
        <f t="shared" ref="K64:L67" si="13">TRUNC(E64+G64+I64,1)</f>
        <v>10050</v>
      </c>
      <c r="L64" s="12">
        <f t="shared" si="13"/>
        <v>10050</v>
      </c>
      <c r="M64" s="8" t="s">
        <v>52</v>
      </c>
      <c r="N64" s="2" t="s">
        <v>162</v>
      </c>
      <c r="O64" s="2" t="s">
        <v>289</v>
      </c>
      <c r="P64" s="2" t="s">
        <v>54</v>
      </c>
      <c r="Q64" s="2" t="s">
        <v>54</v>
      </c>
      <c r="R64" s="2" t="s">
        <v>60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290</v>
      </c>
      <c r="AX64" s="2" t="s">
        <v>52</v>
      </c>
      <c r="AY64" s="2" t="s">
        <v>52</v>
      </c>
    </row>
    <row r="65" spans="1:51" ht="30" customHeight="1">
      <c r="A65" s="8" t="s">
        <v>287</v>
      </c>
      <c r="B65" s="8" t="s">
        <v>291</v>
      </c>
      <c r="C65" s="8" t="s">
        <v>161</v>
      </c>
      <c r="D65" s="9">
        <v>1</v>
      </c>
      <c r="E65" s="11">
        <f>단가대비표!O21</f>
        <v>0</v>
      </c>
      <c r="F65" s="12">
        <f>TRUNC(E65*D65,1)</f>
        <v>0</v>
      </c>
      <c r="G65" s="11">
        <f>단가대비표!P21</f>
        <v>0</v>
      </c>
      <c r="H65" s="12">
        <f>TRUNC(G65*D65,1)</f>
        <v>0</v>
      </c>
      <c r="I65" s="11">
        <f>단가대비표!V21</f>
        <v>4840</v>
      </c>
      <c r="J65" s="12">
        <f>TRUNC(I65*D65,1)</f>
        <v>4840</v>
      </c>
      <c r="K65" s="11">
        <f t="shared" si="13"/>
        <v>4840</v>
      </c>
      <c r="L65" s="12">
        <f t="shared" si="13"/>
        <v>4840</v>
      </c>
      <c r="M65" s="8" t="s">
        <v>52</v>
      </c>
      <c r="N65" s="2" t="s">
        <v>162</v>
      </c>
      <c r="O65" s="2" t="s">
        <v>292</v>
      </c>
      <c r="P65" s="2" t="s">
        <v>54</v>
      </c>
      <c r="Q65" s="2" t="s">
        <v>54</v>
      </c>
      <c r="R65" s="2" t="s">
        <v>60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293</v>
      </c>
      <c r="AX65" s="2" t="s">
        <v>52</v>
      </c>
      <c r="AY65" s="2" t="s">
        <v>52</v>
      </c>
    </row>
    <row r="66" spans="1:51" ht="30" customHeight="1">
      <c r="A66" s="8" t="s">
        <v>294</v>
      </c>
      <c r="B66" s="8" t="s">
        <v>295</v>
      </c>
      <c r="C66" s="8" t="s">
        <v>296</v>
      </c>
      <c r="D66" s="9">
        <v>100</v>
      </c>
      <c r="E66" s="11">
        <f>단가대비표!O23</f>
        <v>50</v>
      </c>
      <c r="F66" s="12">
        <f>TRUNC(E66*D66,1)</f>
        <v>5000</v>
      </c>
      <c r="G66" s="11">
        <f>단가대비표!P23</f>
        <v>0</v>
      </c>
      <c r="H66" s="12">
        <f>TRUNC(G66*D66,1)</f>
        <v>0</v>
      </c>
      <c r="I66" s="11">
        <f>단가대비표!V23</f>
        <v>0</v>
      </c>
      <c r="J66" s="12">
        <f>TRUNC(I66*D66,1)</f>
        <v>0</v>
      </c>
      <c r="K66" s="11">
        <f t="shared" si="13"/>
        <v>50</v>
      </c>
      <c r="L66" s="12">
        <f t="shared" si="13"/>
        <v>5000</v>
      </c>
      <c r="M66" s="8" t="s">
        <v>52</v>
      </c>
      <c r="N66" s="2" t="s">
        <v>162</v>
      </c>
      <c r="O66" s="2" t="s">
        <v>297</v>
      </c>
      <c r="P66" s="2" t="s">
        <v>54</v>
      </c>
      <c r="Q66" s="2" t="s">
        <v>54</v>
      </c>
      <c r="R66" s="2" t="s">
        <v>60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298</v>
      </c>
      <c r="AX66" s="2" t="s">
        <v>52</v>
      </c>
      <c r="AY66" s="2" t="s">
        <v>52</v>
      </c>
    </row>
    <row r="67" spans="1:51" ht="30" customHeight="1">
      <c r="A67" s="8" t="s">
        <v>287</v>
      </c>
      <c r="B67" s="8" t="s">
        <v>299</v>
      </c>
      <c r="C67" s="8" t="s">
        <v>299</v>
      </c>
      <c r="D67" s="9">
        <v>1</v>
      </c>
      <c r="E67" s="11">
        <f>단가대비표!O22</f>
        <v>0</v>
      </c>
      <c r="F67" s="12">
        <f>TRUNC(E67*D67,1)</f>
        <v>0</v>
      </c>
      <c r="G67" s="11">
        <f>단가대비표!P22</f>
        <v>0</v>
      </c>
      <c r="H67" s="12">
        <f>TRUNC(G67*D67,1)</f>
        <v>0</v>
      </c>
      <c r="I67" s="11">
        <f>단가대비표!V22</f>
        <v>15368</v>
      </c>
      <c r="J67" s="12">
        <f>TRUNC(I67*D67,1)</f>
        <v>15368</v>
      </c>
      <c r="K67" s="11">
        <f t="shared" si="13"/>
        <v>15368</v>
      </c>
      <c r="L67" s="12">
        <f t="shared" si="13"/>
        <v>15368</v>
      </c>
      <c r="M67" s="8" t="s">
        <v>52</v>
      </c>
      <c r="N67" s="2" t="s">
        <v>162</v>
      </c>
      <c r="O67" s="2" t="s">
        <v>300</v>
      </c>
      <c r="P67" s="2" t="s">
        <v>54</v>
      </c>
      <c r="Q67" s="2" t="s">
        <v>54</v>
      </c>
      <c r="R67" s="2" t="s">
        <v>60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301</v>
      </c>
      <c r="AX67" s="2" t="s">
        <v>52</v>
      </c>
      <c r="AY67" s="2" t="s">
        <v>52</v>
      </c>
    </row>
    <row r="68" spans="1:51" ht="30" customHeight="1">
      <c r="A68" s="8" t="s">
        <v>208</v>
      </c>
      <c r="B68" s="8" t="s">
        <v>52</v>
      </c>
      <c r="C68" s="8" t="s">
        <v>52</v>
      </c>
      <c r="D68" s="9"/>
      <c r="E68" s="11"/>
      <c r="F68" s="12">
        <f>TRUNC(SUMIF(N64:N67, N63, F64:F67),0)</f>
        <v>5000</v>
      </c>
      <c r="G68" s="11"/>
      <c r="H68" s="12">
        <f>TRUNC(SUMIF(N64:N67, N63, H64:H67),0)</f>
        <v>0</v>
      </c>
      <c r="I68" s="11"/>
      <c r="J68" s="12">
        <f>TRUNC(SUMIF(N64:N67, N63, J64:J67),0)</f>
        <v>30258</v>
      </c>
      <c r="K68" s="11"/>
      <c r="L68" s="12">
        <f>F68+H68+J68</f>
        <v>35258</v>
      </c>
      <c r="M68" s="8" t="s">
        <v>52</v>
      </c>
      <c r="N68" s="2" t="s">
        <v>209</v>
      </c>
      <c r="O68" s="2" t="s">
        <v>209</v>
      </c>
      <c r="P68" s="2" t="s">
        <v>52</v>
      </c>
      <c r="Q68" s="2" t="s">
        <v>52</v>
      </c>
      <c r="R68" s="2" t="s">
        <v>52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52</v>
      </c>
      <c r="AX68" s="2" t="s">
        <v>52</v>
      </c>
      <c r="AY68" s="2" t="s">
        <v>52</v>
      </c>
    </row>
    <row r="69" spans="1:51" ht="30" customHeight="1">
      <c r="A69" s="9"/>
      <c r="B69" s="9"/>
      <c r="C69" s="9"/>
      <c r="D69" s="9"/>
      <c r="E69" s="11"/>
      <c r="F69" s="12"/>
      <c r="G69" s="11"/>
      <c r="H69" s="12"/>
      <c r="I69" s="11"/>
      <c r="J69" s="12"/>
      <c r="K69" s="11"/>
      <c r="L69" s="12"/>
      <c r="M69" s="9"/>
    </row>
    <row r="70" spans="1:51" ht="30" customHeight="1">
      <c r="A70" s="288" t="s">
        <v>302</v>
      </c>
      <c r="B70" s="288"/>
      <c r="C70" s="288"/>
      <c r="D70" s="288"/>
      <c r="E70" s="289"/>
      <c r="F70" s="290"/>
      <c r="G70" s="289"/>
      <c r="H70" s="290"/>
      <c r="I70" s="289"/>
      <c r="J70" s="290"/>
      <c r="K70" s="289"/>
      <c r="L70" s="290"/>
      <c r="M70" s="288"/>
      <c r="N70" s="1" t="s">
        <v>303</v>
      </c>
    </row>
    <row r="71" spans="1:51" ht="30" customHeight="1">
      <c r="A71" s="8" t="s">
        <v>304</v>
      </c>
      <c r="B71" s="8" t="s">
        <v>305</v>
      </c>
      <c r="C71" s="8" t="s">
        <v>310</v>
      </c>
      <c r="D71" s="9">
        <v>0.20849999999999999</v>
      </c>
      <c r="E71" s="11">
        <f>단가대비표!O6</f>
        <v>0</v>
      </c>
      <c r="F71" s="12">
        <f>TRUNC(E71*D71,1)</f>
        <v>0</v>
      </c>
      <c r="G71" s="11">
        <f>단가대비표!P6</f>
        <v>0</v>
      </c>
      <c r="H71" s="12">
        <f>TRUNC(G71*D71,1)</f>
        <v>0</v>
      </c>
      <c r="I71" s="11">
        <f>단가대비표!V6</f>
        <v>71333</v>
      </c>
      <c r="J71" s="12">
        <f>TRUNC(I71*D71,1)</f>
        <v>14872.9</v>
      </c>
      <c r="K71" s="11">
        <f t="shared" ref="K71:L74" si="14">TRUNC(E71+G71+I71,1)</f>
        <v>71333</v>
      </c>
      <c r="L71" s="12">
        <f t="shared" si="14"/>
        <v>14872.9</v>
      </c>
      <c r="M71" s="8" t="s">
        <v>311</v>
      </c>
      <c r="N71" s="2" t="s">
        <v>303</v>
      </c>
      <c r="O71" s="2" t="s">
        <v>312</v>
      </c>
      <c r="P71" s="2" t="s">
        <v>54</v>
      </c>
      <c r="Q71" s="2" t="s">
        <v>54</v>
      </c>
      <c r="R71" s="2" t="s">
        <v>60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52</v>
      </c>
      <c r="AW71" s="2" t="s">
        <v>313</v>
      </c>
      <c r="AX71" s="2" t="s">
        <v>52</v>
      </c>
      <c r="AY71" s="2" t="s">
        <v>52</v>
      </c>
    </row>
    <row r="72" spans="1:51" ht="30" customHeight="1">
      <c r="A72" s="8" t="s">
        <v>314</v>
      </c>
      <c r="B72" s="8" t="s">
        <v>315</v>
      </c>
      <c r="C72" s="8" t="s">
        <v>316</v>
      </c>
      <c r="D72" s="9">
        <v>9.9</v>
      </c>
      <c r="E72" s="11">
        <f>단가대비표!O18</f>
        <v>1017</v>
      </c>
      <c r="F72" s="12">
        <f>TRUNC(E72*D72,1)</f>
        <v>10068.299999999999</v>
      </c>
      <c r="G72" s="11">
        <f>단가대비표!P18</f>
        <v>0</v>
      </c>
      <c r="H72" s="12">
        <f>TRUNC(G72*D72,1)</f>
        <v>0</v>
      </c>
      <c r="I72" s="11">
        <f>단가대비표!V18</f>
        <v>0</v>
      </c>
      <c r="J72" s="12">
        <f>TRUNC(I72*D72,1)</f>
        <v>0</v>
      </c>
      <c r="K72" s="11">
        <f t="shared" si="14"/>
        <v>1017</v>
      </c>
      <c r="L72" s="12">
        <f t="shared" si="14"/>
        <v>10068.299999999999</v>
      </c>
      <c r="M72" s="8" t="s">
        <v>52</v>
      </c>
      <c r="N72" s="2" t="s">
        <v>303</v>
      </c>
      <c r="O72" s="2" t="s">
        <v>317</v>
      </c>
      <c r="P72" s="2" t="s">
        <v>54</v>
      </c>
      <c r="Q72" s="2" t="s">
        <v>54</v>
      </c>
      <c r="R72" s="2" t="s">
        <v>60</v>
      </c>
      <c r="S72" s="3"/>
      <c r="T72" s="3"/>
      <c r="U72" s="3"/>
      <c r="V72" s="3">
        <v>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318</v>
      </c>
      <c r="AX72" s="2" t="s">
        <v>52</v>
      </c>
      <c r="AY72" s="2" t="s">
        <v>52</v>
      </c>
    </row>
    <row r="73" spans="1:51" ht="30" customHeight="1">
      <c r="A73" s="8" t="s">
        <v>319</v>
      </c>
      <c r="B73" s="8" t="s">
        <v>320</v>
      </c>
      <c r="C73" s="8" t="s">
        <v>94</v>
      </c>
      <c r="D73" s="9">
        <v>1</v>
      </c>
      <c r="E73" s="11">
        <f>TRUNC(SUMIF(V71:V74, RIGHTB(O73, 1), F71:F74)*U73, 2)</f>
        <v>2215.02</v>
      </c>
      <c r="F73" s="12">
        <f>TRUNC(E73*D73,1)</f>
        <v>2215</v>
      </c>
      <c r="G73" s="11">
        <v>0</v>
      </c>
      <c r="H73" s="12">
        <f>TRUNC(G73*D73,1)</f>
        <v>0</v>
      </c>
      <c r="I73" s="11">
        <v>0</v>
      </c>
      <c r="J73" s="12">
        <f>TRUNC(I73*D73,1)</f>
        <v>0</v>
      </c>
      <c r="K73" s="11">
        <f t="shared" si="14"/>
        <v>2215</v>
      </c>
      <c r="L73" s="12">
        <f t="shared" si="14"/>
        <v>2215</v>
      </c>
      <c r="M73" s="8" t="s">
        <v>52</v>
      </c>
      <c r="N73" s="2" t="s">
        <v>303</v>
      </c>
      <c r="O73" s="2" t="s">
        <v>95</v>
      </c>
      <c r="P73" s="2" t="s">
        <v>54</v>
      </c>
      <c r="Q73" s="2" t="s">
        <v>54</v>
      </c>
      <c r="R73" s="2" t="s">
        <v>54</v>
      </c>
      <c r="S73" s="3">
        <v>0</v>
      </c>
      <c r="T73" s="3">
        <v>0</v>
      </c>
      <c r="U73" s="3">
        <v>0.22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321</v>
      </c>
      <c r="AX73" s="2" t="s">
        <v>52</v>
      </c>
      <c r="AY73" s="2" t="s">
        <v>52</v>
      </c>
    </row>
    <row r="74" spans="1:51" ht="30" customHeight="1">
      <c r="A74" s="8" t="s">
        <v>322</v>
      </c>
      <c r="B74" s="8" t="s">
        <v>187</v>
      </c>
      <c r="C74" s="8" t="s">
        <v>188</v>
      </c>
      <c r="D74" s="9">
        <v>1</v>
      </c>
      <c r="E74" s="11">
        <f>TRUNC(단가대비표!O38*1/8*16/12*25/20, 1)</f>
        <v>0</v>
      </c>
      <c r="F74" s="12">
        <f>TRUNC(E74*D74,1)</f>
        <v>0</v>
      </c>
      <c r="G74" s="193">
        <f>TRUNC(단가대비표!P38*1/8*16/12*25/20, 1)</f>
        <v>42474.5</v>
      </c>
      <c r="H74" s="12">
        <f>TRUNC(G74*D74,1)</f>
        <v>42474.5</v>
      </c>
      <c r="I74" s="11">
        <f>TRUNC(단가대비표!V38*1/8*16/12*25/20, 1)</f>
        <v>0</v>
      </c>
      <c r="J74" s="12">
        <f>TRUNC(I74*D74,1)</f>
        <v>0</v>
      </c>
      <c r="K74" s="11">
        <f t="shared" si="14"/>
        <v>42474.5</v>
      </c>
      <c r="L74" s="12">
        <f t="shared" si="14"/>
        <v>42474.5</v>
      </c>
      <c r="M74" s="8" t="s">
        <v>802</v>
      </c>
      <c r="N74" s="2" t="s">
        <v>303</v>
      </c>
      <c r="O74" s="2" t="s">
        <v>323</v>
      </c>
      <c r="P74" s="2" t="s">
        <v>54</v>
      </c>
      <c r="Q74" s="2" t="s">
        <v>54</v>
      </c>
      <c r="R74" s="2" t="s">
        <v>60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324</v>
      </c>
      <c r="AX74" s="2" t="s">
        <v>60</v>
      </c>
      <c r="AY74" s="2" t="s">
        <v>52</v>
      </c>
    </row>
    <row r="75" spans="1:51" ht="30" customHeight="1">
      <c r="A75" s="8" t="s">
        <v>208</v>
      </c>
      <c r="B75" s="8" t="s">
        <v>52</v>
      </c>
      <c r="C75" s="8" t="s">
        <v>52</v>
      </c>
      <c r="D75" s="9"/>
      <c r="E75" s="11"/>
      <c r="F75" s="12">
        <f>TRUNC(SUMIF(N71:N74, N70, F71:F74),0)</f>
        <v>12283</v>
      </c>
      <c r="G75" s="11"/>
      <c r="H75" s="12">
        <f>TRUNC(SUMIF(N71:N74, N70, H71:H74),0)</f>
        <v>42474</v>
      </c>
      <c r="I75" s="11"/>
      <c r="J75" s="12">
        <f>TRUNC(SUMIF(N71:N74, N70, J71:J74),0)</f>
        <v>14872</v>
      </c>
      <c r="K75" s="11"/>
      <c r="L75" s="12">
        <f>F75+H75+J75</f>
        <v>69629</v>
      </c>
      <c r="M75" s="8" t="s">
        <v>52</v>
      </c>
      <c r="N75" s="2" t="s">
        <v>209</v>
      </c>
      <c r="O75" s="2" t="s">
        <v>209</v>
      </c>
      <c r="P75" s="2" t="s">
        <v>52</v>
      </c>
      <c r="Q75" s="2" t="s">
        <v>52</v>
      </c>
      <c r="R75" s="2" t="s">
        <v>52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52</v>
      </c>
      <c r="AX75" s="2" t="s">
        <v>52</v>
      </c>
      <c r="AY75" s="2" t="s">
        <v>52</v>
      </c>
    </row>
    <row r="76" spans="1:51" ht="30" customHeight="1">
      <c r="A76" s="9"/>
      <c r="B76" s="9"/>
      <c r="C76" s="9"/>
      <c r="D76" s="9"/>
      <c r="E76" s="11"/>
      <c r="F76" s="12"/>
      <c r="G76" s="11"/>
      <c r="H76" s="12"/>
      <c r="I76" s="11"/>
      <c r="J76" s="12"/>
      <c r="K76" s="11"/>
      <c r="L76" s="12"/>
      <c r="M76" s="9"/>
    </row>
    <row r="77" spans="1:51" ht="30" customHeight="1">
      <c r="A77" s="288" t="s">
        <v>325</v>
      </c>
      <c r="B77" s="288"/>
      <c r="C77" s="288"/>
      <c r="D77" s="288"/>
      <c r="E77" s="289"/>
      <c r="F77" s="290"/>
      <c r="G77" s="289"/>
      <c r="H77" s="290"/>
      <c r="I77" s="289"/>
      <c r="J77" s="290"/>
      <c r="K77" s="289"/>
      <c r="L77" s="290"/>
      <c r="M77" s="288"/>
      <c r="N77" s="1" t="s">
        <v>326</v>
      </c>
    </row>
    <row r="78" spans="1:51" ht="30" customHeight="1">
      <c r="A78" s="8" t="s">
        <v>327</v>
      </c>
      <c r="B78" s="8" t="s">
        <v>328</v>
      </c>
      <c r="C78" s="8" t="s">
        <v>310</v>
      </c>
      <c r="D78" s="9">
        <v>0.37080000000000002</v>
      </c>
      <c r="E78" s="11">
        <f>단가대비표!O9</f>
        <v>0</v>
      </c>
      <c r="F78" s="12">
        <f>TRUNC(E78*D78,1)</f>
        <v>0</v>
      </c>
      <c r="G78" s="11">
        <f>단가대비표!P9</f>
        <v>0</v>
      </c>
      <c r="H78" s="12">
        <f>TRUNC(G78*D78,1)</f>
        <v>0</v>
      </c>
      <c r="I78" s="11">
        <f>단가대비표!V9</f>
        <v>1428</v>
      </c>
      <c r="J78" s="12">
        <f>TRUNC(I78*D78,1)</f>
        <v>529.5</v>
      </c>
      <c r="K78" s="11">
        <f t="shared" ref="K78:L81" si="15">TRUNC(E78+G78+I78,1)</f>
        <v>1428</v>
      </c>
      <c r="L78" s="12">
        <f t="shared" si="15"/>
        <v>529.5</v>
      </c>
      <c r="M78" s="8" t="s">
        <v>311</v>
      </c>
      <c r="N78" s="2" t="s">
        <v>326</v>
      </c>
      <c r="O78" s="2" t="s">
        <v>331</v>
      </c>
      <c r="P78" s="2" t="s">
        <v>54</v>
      </c>
      <c r="Q78" s="2" t="s">
        <v>54</v>
      </c>
      <c r="R78" s="2" t="s">
        <v>60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332</v>
      </c>
      <c r="AX78" s="2" t="s">
        <v>52</v>
      </c>
      <c r="AY78" s="2" t="s">
        <v>52</v>
      </c>
    </row>
    <row r="79" spans="1:51" ht="30" customHeight="1">
      <c r="A79" s="8" t="s">
        <v>333</v>
      </c>
      <c r="B79" s="8" t="s">
        <v>334</v>
      </c>
      <c r="C79" s="8" t="s">
        <v>316</v>
      </c>
      <c r="D79" s="9">
        <v>1</v>
      </c>
      <c r="E79" s="193">
        <f>단가대비표!O19</f>
        <v>1198.9000000000001</v>
      </c>
      <c r="F79" s="12">
        <f>TRUNC(E79*D79,1)</f>
        <v>1198.9000000000001</v>
      </c>
      <c r="G79" s="11">
        <f>단가대비표!P19</f>
        <v>0</v>
      </c>
      <c r="H79" s="12">
        <f>TRUNC(G79*D79,1)</f>
        <v>0</v>
      </c>
      <c r="I79" s="11">
        <f>단가대비표!V19</f>
        <v>0</v>
      </c>
      <c r="J79" s="12">
        <f>TRUNC(I79*D79,1)</f>
        <v>0</v>
      </c>
      <c r="K79" s="11">
        <f t="shared" si="15"/>
        <v>1198.9000000000001</v>
      </c>
      <c r="L79" s="12">
        <f t="shared" si="15"/>
        <v>1198.9000000000001</v>
      </c>
      <c r="M79" s="8" t="s">
        <v>52</v>
      </c>
      <c r="N79" s="2" t="s">
        <v>326</v>
      </c>
      <c r="O79" s="2" t="s">
        <v>335</v>
      </c>
      <c r="P79" s="2" t="s">
        <v>54</v>
      </c>
      <c r="Q79" s="2" t="s">
        <v>54</v>
      </c>
      <c r="R79" s="2" t="s">
        <v>60</v>
      </c>
      <c r="S79" s="3"/>
      <c r="T79" s="3"/>
      <c r="U79" s="3"/>
      <c r="V79" s="3">
        <v>1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336</v>
      </c>
      <c r="AX79" s="2" t="s">
        <v>52</v>
      </c>
      <c r="AY79" s="2" t="s">
        <v>52</v>
      </c>
    </row>
    <row r="80" spans="1:51" ht="30" customHeight="1">
      <c r="A80" s="8" t="s">
        <v>319</v>
      </c>
      <c r="B80" s="8" t="s">
        <v>337</v>
      </c>
      <c r="C80" s="8" t="s">
        <v>94</v>
      </c>
      <c r="D80" s="9">
        <v>1</v>
      </c>
      <c r="E80" s="11">
        <f>TRUNC(SUMIF(V78:V81, RIGHTB(O80, 1), F78:F81)*U80, 2)</f>
        <v>239.78</v>
      </c>
      <c r="F80" s="12">
        <f>TRUNC(E80*D80,1)</f>
        <v>239.7</v>
      </c>
      <c r="G80" s="11">
        <v>0</v>
      </c>
      <c r="H80" s="12">
        <f>TRUNC(G80*D80,1)</f>
        <v>0</v>
      </c>
      <c r="I80" s="11">
        <v>0</v>
      </c>
      <c r="J80" s="12">
        <f>TRUNC(I80*D80,1)</f>
        <v>0</v>
      </c>
      <c r="K80" s="11">
        <f t="shared" si="15"/>
        <v>239.7</v>
      </c>
      <c r="L80" s="12">
        <f t="shared" si="15"/>
        <v>239.7</v>
      </c>
      <c r="M80" s="8" t="s">
        <v>52</v>
      </c>
      <c r="N80" s="2" t="s">
        <v>326</v>
      </c>
      <c r="O80" s="2" t="s">
        <v>95</v>
      </c>
      <c r="P80" s="2" t="s">
        <v>54</v>
      </c>
      <c r="Q80" s="2" t="s">
        <v>54</v>
      </c>
      <c r="R80" s="2" t="s">
        <v>54</v>
      </c>
      <c r="S80" s="3">
        <v>0</v>
      </c>
      <c r="T80" s="3">
        <v>0</v>
      </c>
      <c r="U80" s="3">
        <v>0.2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338</v>
      </c>
      <c r="AX80" s="2" t="s">
        <v>52</v>
      </c>
      <c r="AY80" s="2" t="s">
        <v>52</v>
      </c>
    </row>
    <row r="81" spans="1:51" ht="30" customHeight="1">
      <c r="A81" s="8" t="s">
        <v>339</v>
      </c>
      <c r="B81" s="8" t="s">
        <v>187</v>
      </c>
      <c r="C81" s="8" t="s">
        <v>188</v>
      </c>
      <c r="D81" s="9">
        <v>1</v>
      </c>
      <c r="E81" s="11">
        <f>TRUNC(단가대비표!O39*1/8*16/12*25/20, 1)</f>
        <v>0</v>
      </c>
      <c r="F81" s="12">
        <f>TRUNC(E81*D81,1)</f>
        <v>0</v>
      </c>
      <c r="G81" s="193">
        <f>TRUNC(단가대비표!P39*1/8*16/12*25/20, 1)</f>
        <v>28744.5</v>
      </c>
      <c r="H81" s="12">
        <f>TRUNC(G81*D81,1)</f>
        <v>28744.5</v>
      </c>
      <c r="I81" s="11">
        <f>TRUNC(단가대비표!V39*1/8*16/12*25/20, 1)</f>
        <v>0</v>
      </c>
      <c r="J81" s="12">
        <f>TRUNC(I81*D81,1)</f>
        <v>0</v>
      </c>
      <c r="K81" s="11">
        <f t="shared" si="15"/>
        <v>28744.5</v>
      </c>
      <c r="L81" s="12">
        <f t="shared" si="15"/>
        <v>28744.5</v>
      </c>
      <c r="M81" s="8" t="s">
        <v>802</v>
      </c>
      <c r="N81" s="2" t="s">
        <v>326</v>
      </c>
      <c r="O81" s="2" t="s">
        <v>340</v>
      </c>
      <c r="P81" s="2" t="s">
        <v>54</v>
      </c>
      <c r="Q81" s="2" t="s">
        <v>54</v>
      </c>
      <c r="R81" s="2" t="s">
        <v>60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341</v>
      </c>
      <c r="AX81" s="2" t="s">
        <v>60</v>
      </c>
      <c r="AY81" s="2" t="s">
        <v>52</v>
      </c>
    </row>
    <row r="82" spans="1:51" ht="30" customHeight="1">
      <c r="A82" s="8" t="s">
        <v>208</v>
      </c>
      <c r="B82" s="8" t="s">
        <v>52</v>
      </c>
      <c r="C82" s="8" t="s">
        <v>52</v>
      </c>
      <c r="D82" s="9"/>
      <c r="E82" s="11"/>
      <c r="F82" s="12">
        <f>TRUNC(SUMIF(N78:N81, N77, F78:F81),0)</f>
        <v>1438</v>
      </c>
      <c r="G82" s="11"/>
      <c r="H82" s="12">
        <f>TRUNC(SUMIF(N78:N81, N77, H78:H81),0)</f>
        <v>28744</v>
      </c>
      <c r="I82" s="11"/>
      <c r="J82" s="12">
        <f>TRUNC(SUMIF(N78:N81, N77, J78:J81),0)</f>
        <v>529</v>
      </c>
      <c r="K82" s="11"/>
      <c r="L82" s="12">
        <f>F82+H82+J82</f>
        <v>30711</v>
      </c>
      <c r="M82" s="8" t="s">
        <v>52</v>
      </c>
      <c r="N82" s="2" t="s">
        <v>209</v>
      </c>
      <c r="O82" s="2" t="s">
        <v>209</v>
      </c>
      <c r="P82" s="2" t="s">
        <v>52</v>
      </c>
      <c r="Q82" s="2" t="s">
        <v>52</v>
      </c>
      <c r="R82" s="2" t="s">
        <v>52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52</v>
      </c>
      <c r="AX82" s="2" t="s">
        <v>52</v>
      </c>
      <c r="AY82" s="2" t="s">
        <v>52</v>
      </c>
    </row>
    <row r="83" spans="1:51" ht="30" customHeight="1">
      <c r="A83" s="9"/>
      <c r="B83" s="9"/>
      <c r="C83" s="9"/>
      <c r="D83" s="9"/>
      <c r="E83" s="11"/>
      <c r="F83" s="12"/>
      <c r="G83" s="11"/>
      <c r="H83" s="12"/>
      <c r="I83" s="11"/>
      <c r="J83" s="12"/>
      <c r="K83" s="11"/>
      <c r="L83" s="12"/>
      <c r="M83" s="9"/>
    </row>
    <row r="84" spans="1:51" ht="30" customHeight="1">
      <c r="A84" s="288" t="s">
        <v>342</v>
      </c>
      <c r="B84" s="288"/>
      <c r="C84" s="288"/>
      <c r="D84" s="288"/>
      <c r="E84" s="289"/>
      <c r="F84" s="290"/>
      <c r="G84" s="289"/>
      <c r="H84" s="290"/>
      <c r="I84" s="289"/>
      <c r="J84" s="290"/>
      <c r="K84" s="289"/>
      <c r="L84" s="290"/>
      <c r="M84" s="288"/>
      <c r="N84" s="1" t="s">
        <v>227</v>
      </c>
    </row>
    <row r="85" spans="1:51" ht="30" customHeight="1">
      <c r="A85" s="8" t="s">
        <v>186</v>
      </c>
      <c r="B85" s="8" t="s">
        <v>187</v>
      </c>
      <c r="C85" s="8" t="s">
        <v>188</v>
      </c>
      <c r="D85" s="9">
        <v>1.7999999999999999E-2</v>
      </c>
      <c r="E85" s="11">
        <f>단가대비표!O34</f>
        <v>0</v>
      </c>
      <c r="F85" s="12">
        <f>TRUNC(E85*D85,1)</f>
        <v>0</v>
      </c>
      <c r="G85" s="11">
        <f>단가대비표!P34</f>
        <v>138989</v>
      </c>
      <c r="H85" s="12">
        <f>TRUNC(G85*D85,1)</f>
        <v>2501.8000000000002</v>
      </c>
      <c r="I85" s="11">
        <f>단가대비표!V34</f>
        <v>0</v>
      </c>
      <c r="J85" s="12">
        <f>TRUNC(I85*D85,1)</f>
        <v>0</v>
      </c>
      <c r="K85" s="11">
        <f t="shared" ref="K85:L87" si="16">TRUNC(E85+G85+I85,1)</f>
        <v>138989</v>
      </c>
      <c r="L85" s="12">
        <f t="shared" si="16"/>
        <v>2501.8000000000002</v>
      </c>
      <c r="M85" s="8" t="s">
        <v>52</v>
      </c>
      <c r="N85" s="2" t="s">
        <v>227</v>
      </c>
      <c r="O85" s="2" t="s">
        <v>189</v>
      </c>
      <c r="P85" s="2" t="s">
        <v>54</v>
      </c>
      <c r="Q85" s="2" t="s">
        <v>54</v>
      </c>
      <c r="R85" s="2" t="s">
        <v>60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345</v>
      </c>
      <c r="AX85" s="2" t="s">
        <v>52</v>
      </c>
      <c r="AY85" s="2" t="s">
        <v>52</v>
      </c>
    </row>
    <row r="86" spans="1:51" ht="30" customHeight="1">
      <c r="A86" s="8" t="s">
        <v>304</v>
      </c>
      <c r="B86" s="8" t="s">
        <v>346</v>
      </c>
      <c r="C86" s="8" t="s">
        <v>306</v>
      </c>
      <c r="D86" s="9">
        <v>7.0000000000000007E-2</v>
      </c>
      <c r="E86" s="11">
        <f>일위대가목록!E19</f>
        <v>6152</v>
      </c>
      <c r="F86" s="12">
        <f>TRUNC(E86*D86,1)</f>
        <v>430.6</v>
      </c>
      <c r="G86" s="11">
        <f>일위대가목록!F19</f>
        <v>42474</v>
      </c>
      <c r="H86" s="12">
        <f>TRUNC(G86*D86,1)</f>
        <v>2973.1</v>
      </c>
      <c r="I86" s="11">
        <f>일위대가목록!G19</f>
        <v>12301</v>
      </c>
      <c r="J86" s="12">
        <f>TRUNC(I86*D86,1)</f>
        <v>861</v>
      </c>
      <c r="K86" s="11">
        <f t="shared" si="16"/>
        <v>60927</v>
      </c>
      <c r="L86" s="12">
        <f t="shared" si="16"/>
        <v>4264.7</v>
      </c>
      <c r="M86" s="8" t="s">
        <v>52</v>
      </c>
      <c r="N86" s="2" t="s">
        <v>227</v>
      </c>
      <c r="O86" s="2" t="s">
        <v>347</v>
      </c>
      <c r="P86" s="2" t="s">
        <v>60</v>
      </c>
      <c r="Q86" s="2" t="s">
        <v>54</v>
      </c>
      <c r="R86" s="2" t="s">
        <v>54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 t="s">
        <v>52</v>
      </c>
      <c r="AW86" s="2" t="s">
        <v>348</v>
      </c>
      <c r="AX86" s="2" t="s">
        <v>52</v>
      </c>
      <c r="AY86" s="2" t="s">
        <v>52</v>
      </c>
    </row>
    <row r="87" spans="1:51" ht="30" customHeight="1">
      <c r="A87" s="8" t="s">
        <v>349</v>
      </c>
      <c r="B87" s="8" t="s">
        <v>350</v>
      </c>
      <c r="C87" s="8" t="s">
        <v>306</v>
      </c>
      <c r="D87" s="9">
        <v>8.5999999999999993E-2</v>
      </c>
      <c r="E87" s="11">
        <f>일위대가목록!E20</f>
        <v>2528</v>
      </c>
      <c r="F87" s="12">
        <f>TRUNC(E87*D87,1)</f>
        <v>217.4</v>
      </c>
      <c r="G87" s="11">
        <f>일위대가목록!F20</f>
        <v>28744</v>
      </c>
      <c r="H87" s="12">
        <f>TRUNC(G87*D87,1)</f>
        <v>2471.9</v>
      </c>
      <c r="I87" s="11">
        <f>일위대가목록!G20</f>
        <v>1680</v>
      </c>
      <c r="J87" s="12">
        <f>TRUNC(I87*D87,1)</f>
        <v>144.4</v>
      </c>
      <c r="K87" s="11">
        <f t="shared" si="16"/>
        <v>32952</v>
      </c>
      <c r="L87" s="12">
        <f t="shared" si="16"/>
        <v>2833.7</v>
      </c>
      <c r="M87" s="8" t="s">
        <v>52</v>
      </c>
      <c r="N87" s="2" t="s">
        <v>227</v>
      </c>
      <c r="O87" s="2" t="s">
        <v>351</v>
      </c>
      <c r="P87" s="2" t="s">
        <v>60</v>
      </c>
      <c r="Q87" s="2" t="s">
        <v>54</v>
      </c>
      <c r="R87" s="2" t="s">
        <v>54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 t="s">
        <v>52</v>
      </c>
      <c r="AW87" s="2" t="s">
        <v>352</v>
      </c>
      <c r="AX87" s="2" t="s">
        <v>52</v>
      </c>
      <c r="AY87" s="2" t="s">
        <v>52</v>
      </c>
    </row>
    <row r="88" spans="1:51" ht="30" customHeight="1">
      <c r="A88" s="8" t="s">
        <v>208</v>
      </c>
      <c r="B88" s="8" t="s">
        <v>52</v>
      </c>
      <c r="C88" s="8" t="s">
        <v>52</v>
      </c>
      <c r="D88" s="9"/>
      <c r="E88" s="11"/>
      <c r="F88" s="12">
        <f>TRUNC(SUMIF(N85:N87, N84, F85:F87),0)</f>
        <v>648</v>
      </c>
      <c r="G88" s="11"/>
      <c r="H88" s="12">
        <f>TRUNC(SUMIF(N85:N87, N84, H85:H87),0)</f>
        <v>7946</v>
      </c>
      <c r="I88" s="11"/>
      <c r="J88" s="12">
        <f>TRUNC(SUMIF(N85:N87, N84, J85:J87),0)</f>
        <v>1005</v>
      </c>
      <c r="K88" s="11"/>
      <c r="L88" s="12">
        <f>F88+H88+J88</f>
        <v>9599</v>
      </c>
      <c r="M88" s="8" t="s">
        <v>52</v>
      </c>
      <c r="N88" s="2" t="s">
        <v>209</v>
      </c>
      <c r="O88" s="2" t="s">
        <v>209</v>
      </c>
      <c r="P88" s="2" t="s">
        <v>52</v>
      </c>
      <c r="Q88" s="2" t="s">
        <v>52</v>
      </c>
      <c r="R88" s="2" t="s">
        <v>52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52</v>
      </c>
      <c r="AX88" s="2" t="s">
        <v>52</v>
      </c>
      <c r="AY88" s="2" t="s">
        <v>52</v>
      </c>
    </row>
    <row r="89" spans="1:51" ht="30" customHeight="1">
      <c r="A89" s="9"/>
      <c r="B89" s="9"/>
      <c r="C89" s="9"/>
      <c r="D89" s="9"/>
      <c r="E89" s="11"/>
      <c r="F89" s="12"/>
      <c r="G89" s="11"/>
      <c r="H89" s="12"/>
      <c r="I89" s="11"/>
      <c r="J89" s="12"/>
      <c r="K89" s="11"/>
      <c r="L89" s="12"/>
      <c r="M89" s="9"/>
    </row>
    <row r="90" spans="1:51" ht="30" customHeight="1">
      <c r="A90" s="288" t="s">
        <v>353</v>
      </c>
      <c r="B90" s="288"/>
      <c r="C90" s="288"/>
      <c r="D90" s="288"/>
      <c r="E90" s="289"/>
      <c r="F90" s="290"/>
      <c r="G90" s="289"/>
      <c r="H90" s="290"/>
      <c r="I90" s="289"/>
      <c r="J90" s="290"/>
      <c r="K90" s="289"/>
      <c r="L90" s="290"/>
      <c r="M90" s="288"/>
      <c r="N90" s="1" t="s">
        <v>231</v>
      </c>
    </row>
    <row r="91" spans="1:51" ht="30" customHeight="1">
      <c r="A91" s="8" t="s">
        <v>356</v>
      </c>
      <c r="B91" s="8" t="s">
        <v>357</v>
      </c>
      <c r="C91" s="8" t="s">
        <v>74</v>
      </c>
      <c r="D91" s="9">
        <v>0.2</v>
      </c>
      <c r="E91" s="11">
        <f>단가대비표!O29</f>
        <v>12000</v>
      </c>
      <c r="F91" s="12">
        <f t="shared" ref="F91:F97" si="17">TRUNC(E91*D91,1)</f>
        <v>2400</v>
      </c>
      <c r="G91" s="11">
        <f>단가대비표!P29</f>
        <v>0</v>
      </c>
      <c r="H91" s="12">
        <f t="shared" ref="H91:H97" si="18">TRUNC(G91*D91,1)</f>
        <v>0</v>
      </c>
      <c r="I91" s="11">
        <f>단가대비표!V29</f>
        <v>0</v>
      </c>
      <c r="J91" s="12">
        <f t="shared" ref="J91:J97" si="19">TRUNC(I91*D91,1)</f>
        <v>0</v>
      </c>
      <c r="K91" s="11">
        <f t="shared" ref="K91:L97" si="20">TRUNC(E91+G91+I91,1)</f>
        <v>12000</v>
      </c>
      <c r="L91" s="12">
        <f t="shared" si="20"/>
        <v>2400</v>
      </c>
      <c r="M91" s="8" t="s">
        <v>52</v>
      </c>
      <c r="N91" s="2" t="s">
        <v>231</v>
      </c>
      <c r="O91" s="2" t="s">
        <v>358</v>
      </c>
      <c r="P91" s="2" t="s">
        <v>54</v>
      </c>
      <c r="Q91" s="2" t="s">
        <v>54</v>
      </c>
      <c r="R91" s="2" t="s">
        <v>60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 t="s">
        <v>52</v>
      </c>
      <c r="AW91" s="2" t="s">
        <v>359</v>
      </c>
      <c r="AX91" s="2" t="s">
        <v>52</v>
      </c>
      <c r="AY91" s="2" t="s">
        <v>52</v>
      </c>
    </row>
    <row r="92" spans="1:51" ht="30" customHeight="1">
      <c r="A92" s="8" t="s">
        <v>360</v>
      </c>
      <c r="B92" s="8" t="s">
        <v>361</v>
      </c>
      <c r="C92" s="8" t="s">
        <v>202</v>
      </c>
      <c r="D92" s="9">
        <v>40</v>
      </c>
      <c r="E92" s="11">
        <f>단가대비표!O27</f>
        <v>140</v>
      </c>
      <c r="F92" s="12">
        <f t="shared" si="17"/>
        <v>5600</v>
      </c>
      <c r="G92" s="11">
        <f>단가대비표!P27</f>
        <v>0</v>
      </c>
      <c r="H92" s="12">
        <f t="shared" si="18"/>
        <v>0</v>
      </c>
      <c r="I92" s="11">
        <f>단가대비표!V27</f>
        <v>0</v>
      </c>
      <c r="J92" s="12">
        <f t="shared" si="19"/>
        <v>0</v>
      </c>
      <c r="K92" s="11">
        <f t="shared" si="20"/>
        <v>140</v>
      </c>
      <c r="L92" s="12">
        <f t="shared" si="20"/>
        <v>5600</v>
      </c>
      <c r="M92" s="8" t="s">
        <v>52</v>
      </c>
      <c r="N92" s="2" t="s">
        <v>231</v>
      </c>
      <c r="O92" s="2" t="s">
        <v>362</v>
      </c>
      <c r="P92" s="2" t="s">
        <v>54</v>
      </c>
      <c r="Q92" s="2" t="s">
        <v>54</v>
      </c>
      <c r="R92" s="2" t="s">
        <v>60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363</v>
      </c>
      <c r="AX92" s="2" t="s">
        <v>52</v>
      </c>
      <c r="AY92" s="2" t="s">
        <v>52</v>
      </c>
    </row>
    <row r="93" spans="1:51" ht="30" customHeight="1">
      <c r="A93" s="8" t="s">
        <v>364</v>
      </c>
      <c r="B93" s="8" t="s">
        <v>365</v>
      </c>
      <c r="C93" s="8" t="s">
        <v>74</v>
      </c>
      <c r="D93" s="9">
        <v>0.25</v>
      </c>
      <c r="E93" s="11">
        <f>단가대비표!O13</f>
        <v>28000</v>
      </c>
      <c r="F93" s="12">
        <f t="shared" si="17"/>
        <v>7000</v>
      </c>
      <c r="G93" s="11">
        <f>단가대비표!P13</f>
        <v>0</v>
      </c>
      <c r="H93" s="12">
        <f t="shared" si="18"/>
        <v>0</v>
      </c>
      <c r="I93" s="11">
        <f>단가대비표!V13</f>
        <v>0</v>
      </c>
      <c r="J93" s="12">
        <f t="shared" si="19"/>
        <v>0</v>
      </c>
      <c r="K93" s="11">
        <f t="shared" si="20"/>
        <v>28000</v>
      </c>
      <c r="L93" s="12">
        <f t="shared" si="20"/>
        <v>7000</v>
      </c>
      <c r="M93" s="8" t="s">
        <v>366</v>
      </c>
      <c r="N93" s="2" t="s">
        <v>231</v>
      </c>
      <c r="O93" s="2" t="s">
        <v>367</v>
      </c>
      <c r="P93" s="2" t="s">
        <v>54</v>
      </c>
      <c r="Q93" s="2" t="s">
        <v>54</v>
      </c>
      <c r="R93" s="2" t="s">
        <v>60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368</v>
      </c>
      <c r="AX93" s="2" t="s">
        <v>52</v>
      </c>
      <c r="AY93" s="2" t="s">
        <v>52</v>
      </c>
    </row>
    <row r="94" spans="1:51" ht="30" customHeight="1">
      <c r="A94" s="8" t="s">
        <v>369</v>
      </c>
      <c r="B94" s="8" t="s">
        <v>370</v>
      </c>
      <c r="C94" s="8" t="s">
        <v>74</v>
      </c>
      <c r="D94" s="9">
        <v>1</v>
      </c>
      <c r="E94" s="11">
        <f>단가대비표!O15</f>
        <v>20000</v>
      </c>
      <c r="F94" s="12">
        <f t="shared" si="17"/>
        <v>20000</v>
      </c>
      <c r="G94" s="11">
        <f>단가대비표!P15</f>
        <v>0</v>
      </c>
      <c r="H94" s="12">
        <f t="shared" si="18"/>
        <v>0</v>
      </c>
      <c r="I94" s="11">
        <f>단가대비표!V15</f>
        <v>0</v>
      </c>
      <c r="J94" s="12">
        <f t="shared" si="19"/>
        <v>0</v>
      </c>
      <c r="K94" s="11">
        <f t="shared" si="20"/>
        <v>20000</v>
      </c>
      <c r="L94" s="12">
        <f t="shared" si="20"/>
        <v>20000</v>
      </c>
      <c r="M94" s="8" t="s">
        <v>366</v>
      </c>
      <c r="N94" s="2" t="s">
        <v>231</v>
      </c>
      <c r="O94" s="2" t="s">
        <v>371</v>
      </c>
      <c r="P94" s="2" t="s">
        <v>54</v>
      </c>
      <c r="Q94" s="2" t="s">
        <v>54</v>
      </c>
      <c r="R94" s="2" t="s">
        <v>60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372</v>
      </c>
      <c r="AX94" s="2" t="s">
        <v>52</v>
      </c>
      <c r="AY94" s="2" t="s">
        <v>52</v>
      </c>
    </row>
    <row r="95" spans="1:51" ht="30" customHeight="1">
      <c r="A95" s="8" t="s">
        <v>186</v>
      </c>
      <c r="B95" s="8" t="s">
        <v>187</v>
      </c>
      <c r="C95" s="8" t="s">
        <v>188</v>
      </c>
      <c r="D95" s="9">
        <v>0.49</v>
      </c>
      <c r="E95" s="11">
        <f>단가대비표!O34</f>
        <v>0</v>
      </c>
      <c r="F95" s="12">
        <f t="shared" si="17"/>
        <v>0</v>
      </c>
      <c r="G95" s="11">
        <f>단가대비표!P34</f>
        <v>138989</v>
      </c>
      <c r="H95" s="12">
        <f t="shared" si="18"/>
        <v>68104.600000000006</v>
      </c>
      <c r="I95" s="11">
        <f>단가대비표!V34</f>
        <v>0</v>
      </c>
      <c r="J95" s="12">
        <f t="shared" si="19"/>
        <v>0</v>
      </c>
      <c r="K95" s="11">
        <f t="shared" si="20"/>
        <v>138989</v>
      </c>
      <c r="L95" s="12">
        <f t="shared" si="20"/>
        <v>68104.600000000006</v>
      </c>
      <c r="M95" s="8" t="s">
        <v>52</v>
      </c>
      <c r="N95" s="2" t="s">
        <v>231</v>
      </c>
      <c r="O95" s="2" t="s">
        <v>189</v>
      </c>
      <c r="P95" s="2" t="s">
        <v>54</v>
      </c>
      <c r="Q95" s="2" t="s">
        <v>54</v>
      </c>
      <c r="R95" s="2" t="s">
        <v>60</v>
      </c>
      <c r="S95" s="3"/>
      <c r="T95" s="3"/>
      <c r="U95" s="3"/>
      <c r="V95" s="3">
        <v>1</v>
      </c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373</v>
      </c>
      <c r="AX95" s="2" t="s">
        <v>52</v>
      </c>
      <c r="AY95" s="2" t="s">
        <v>52</v>
      </c>
    </row>
    <row r="96" spans="1:51" ht="30" customHeight="1">
      <c r="A96" s="8" t="s">
        <v>349</v>
      </c>
      <c r="B96" s="8" t="s">
        <v>350</v>
      </c>
      <c r="C96" s="8" t="s">
        <v>306</v>
      </c>
      <c r="D96" s="9">
        <v>0.69</v>
      </c>
      <c r="E96" s="11">
        <f>일위대가목록!E20</f>
        <v>2528</v>
      </c>
      <c r="F96" s="12">
        <f t="shared" si="17"/>
        <v>1744.3</v>
      </c>
      <c r="G96" s="11">
        <f>일위대가목록!F20</f>
        <v>28744</v>
      </c>
      <c r="H96" s="12">
        <f t="shared" si="18"/>
        <v>19833.3</v>
      </c>
      <c r="I96" s="11">
        <f>일위대가목록!G20</f>
        <v>1680</v>
      </c>
      <c r="J96" s="12">
        <f t="shared" si="19"/>
        <v>1159.2</v>
      </c>
      <c r="K96" s="11">
        <f t="shared" si="20"/>
        <v>32952</v>
      </c>
      <c r="L96" s="12">
        <f t="shared" si="20"/>
        <v>22736.799999999999</v>
      </c>
      <c r="M96" s="8" t="s">
        <v>52</v>
      </c>
      <c r="N96" s="2" t="s">
        <v>231</v>
      </c>
      <c r="O96" s="2" t="s">
        <v>351</v>
      </c>
      <c r="P96" s="2" t="s">
        <v>60</v>
      </c>
      <c r="Q96" s="2" t="s">
        <v>54</v>
      </c>
      <c r="R96" s="2" t="s">
        <v>54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374</v>
      </c>
      <c r="AX96" s="2" t="s">
        <v>52</v>
      </c>
      <c r="AY96" s="2" t="s">
        <v>52</v>
      </c>
    </row>
    <row r="97" spans="1:51" ht="30" customHeight="1">
      <c r="A97" s="8" t="s">
        <v>375</v>
      </c>
      <c r="B97" s="8" t="s">
        <v>376</v>
      </c>
      <c r="C97" s="8" t="s">
        <v>94</v>
      </c>
      <c r="D97" s="9">
        <v>1</v>
      </c>
      <c r="E97" s="11">
        <v>0</v>
      </c>
      <c r="F97" s="12">
        <f t="shared" si="17"/>
        <v>0</v>
      </c>
      <c r="G97" s="11">
        <v>0</v>
      </c>
      <c r="H97" s="12">
        <f t="shared" si="18"/>
        <v>0</v>
      </c>
      <c r="I97" s="11">
        <f>TRUNC(SUMIF(V91:V97, RIGHTB(O97, 1), H91:H97)*U97, 2)</f>
        <v>1362.09</v>
      </c>
      <c r="J97" s="12">
        <f t="shared" si="19"/>
        <v>1362</v>
      </c>
      <c r="K97" s="11">
        <f t="shared" si="20"/>
        <v>1362</v>
      </c>
      <c r="L97" s="12">
        <f t="shared" si="20"/>
        <v>1362</v>
      </c>
      <c r="M97" s="8" t="s">
        <v>52</v>
      </c>
      <c r="N97" s="2" t="s">
        <v>231</v>
      </c>
      <c r="O97" s="2" t="s">
        <v>95</v>
      </c>
      <c r="P97" s="2" t="s">
        <v>54</v>
      </c>
      <c r="Q97" s="2" t="s">
        <v>54</v>
      </c>
      <c r="R97" s="2" t="s">
        <v>54</v>
      </c>
      <c r="S97" s="3">
        <v>1</v>
      </c>
      <c r="T97" s="3">
        <v>2</v>
      </c>
      <c r="U97" s="3">
        <v>0.02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377</v>
      </c>
      <c r="AX97" s="2" t="s">
        <v>52</v>
      </c>
      <c r="AY97" s="2" t="s">
        <v>52</v>
      </c>
    </row>
    <row r="98" spans="1:51" ht="30" customHeight="1">
      <c r="A98" s="8" t="s">
        <v>208</v>
      </c>
      <c r="B98" s="8" t="s">
        <v>52</v>
      </c>
      <c r="C98" s="8" t="s">
        <v>52</v>
      </c>
      <c r="D98" s="9"/>
      <c r="E98" s="11"/>
      <c r="F98" s="12">
        <f>TRUNC(SUMIF(N91:N97, N90, F91:F97),0)</f>
        <v>36744</v>
      </c>
      <c r="G98" s="11"/>
      <c r="H98" s="12">
        <f>TRUNC(SUMIF(N91:N97, N90, H91:H97),0)</f>
        <v>87937</v>
      </c>
      <c r="I98" s="11"/>
      <c r="J98" s="12">
        <f>TRUNC(SUMIF(N91:N97, N90, J91:J97),0)</f>
        <v>2521</v>
      </c>
      <c r="K98" s="11"/>
      <c r="L98" s="12">
        <f>F98+H98+J98</f>
        <v>127202</v>
      </c>
      <c r="M98" s="8" t="s">
        <v>52</v>
      </c>
      <c r="N98" s="2" t="s">
        <v>209</v>
      </c>
      <c r="O98" s="2" t="s">
        <v>209</v>
      </c>
      <c r="P98" s="2" t="s">
        <v>52</v>
      </c>
      <c r="Q98" s="2" t="s">
        <v>52</v>
      </c>
      <c r="R98" s="2" t="s">
        <v>52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52</v>
      </c>
      <c r="AW98" s="2" t="s">
        <v>52</v>
      </c>
      <c r="AX98" s="2" t="s">
        <v>52</v>
      </c>
      <c r="AY98" s="2" t="s">
        <v>52</v>
      </c>
    </row>
    <row r="99" spans="1:51" ht="30" customHeight="1">
      <c r="A99" s="9"/>
      <c r="B99" s="9"/>
      <c r="C99" s="9"/>
      <c r="D99" s="9"/>
      <c r="E99" s="11"/>
      <c r="F99" s="12"/>
      <c r="G99" s="11"/>
      <c r="H99" s="12"/>
      <c r="I99" s="11"/>
      <c r="J99" s="12"/>
      <c r="K99" s="11"/>
      <c r="L99" s="12"/>
      <c r="M99" s="9"/>
    </row>
    <row r="100" spans="1:51" ht="30" customHeight="1">
      <c r="A100" s="288" t="s">
        <v>378</v>
      </c>
      <c r="B100" s="288"/>
      <c r="C100" s="288"/>
      <c r="D100" s="288"/>
      <c r="E100" s="289"/>
      <c r="F100" s="290"/>
      <c r="G100" s="289"/>
      <c r="H100" s="290"/>
      <c r="I100" s="289"/>
      <c r="J100" s="290"/>
      <c r="K100" s="289"/>
      <c r="L100" s="290"/>
      <c r="M100" s="288"/>
      <c r="N100" s="1" t="s">
        <v>234</v>
      </c>
    </row>
    <row r="101" spans="1:51" ht="30" customHeight="1">
      <c r="A101" s="8" t="s">
        <v>381</v>
      </c>
      <c r="B101" s="8" t="s">
        <v>382</v>
      </c>
      <c r="C101" s="8" t="s">
        <v>188</v>
      </c>
      <c r="D101" s="9">
        <v>0.49</v>
      </c>
      <c r="E101" s="11">
        <f>단가대비표!O40</f>
        <v>0</v>
      </c>
      <c r="F101" s="12">
        <f>TRUNC(E101*D101,1)</f>
        <v>0</v>
      </c>
      <c r="G101" s="193">
        <f>단가대비표!P40</f>
        <v>333973</v>
      </c>
      <c r="H101" s="12">
        <f>TRUNC(G101*D101,1)</f>
        <v>163646.70000000001</v>
      </c>
      <c r="I101" s="11">
        <f>단가대비표!V40</f>
        <v>0</v>
      </c>
      <c r="J101" s="12">
        <f>TRUNC(I101*D101,1)</f>
        <v>0</v>
      </c>
      <c r="K101" s="11">
        <f t="shared" ref="K101:L105" si="21">TRUNC(E101+G101+I101,1)</f>
        <v>333973</v>
      </c>
      <c r="L101" s="12">
        <f t="shared" si="21"/>
        <v>163646.70000000001</v>
      </c>
      <c r="M101" s="8" t="s">
        <v>52</v>
      </c>
      <c r="N101" s="2" t="s">
        <v>234</v>
      </c>
      <c r="O101" s="2" t="s">
        <v>383</v>
      </c>
      <c r="P101" s="2" t="s">
        <v>54</v>
      </c>
      <c r="Q101" s="2" t="s">
        <v>54</v>
      </c>
      <c r="R101" s="2" t="s">
        <v>60</v>
      </c>
      <c r="S101" s="3"/>
      <c r="T101" s="3"/>
      <c r="U101" s="3"/>
      <c r="V101" s="3">
        <v>1</v>
      </c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384</v>
      </c>
      <c r="AX101" s="2" t="s">
        <v>52</v>
      </c>
      <c r="AY101" s="2" t="s">
        <v>52</v>
      </c>
    </row>
    <row r="102" spans="1:51" ht="30" customHeight="1">
      <c r="A102" s="8" t="s">
        <v>385</v>
      </c>
      <c r="B102" s="8" t="s">
        <v>382</v>
      </c>
      <c r="C102" s="8" t="s">
        <v>188</v>
      </c>
      <c r="D102" s="9">
        <v>0.2</v>
      </c>
      <c r="E102" s="11">
        <f>단가대비표!O42</f>
        <v>0</v>
      </c>
      <c r="F102" s="12">
        <f>TRUNC(E102*D102,1)</f>
        <v>0</v>
      </c>
      <c r="G102" s="193">
        <f>단가대비표!P42</f>
        <v>246892</v>
      </c>
      <c r="H102" s="12">
        <f>TRUNC(G102*D102,1)</f>
        <v>49378.400000000001</v>
      </c>
      <c r="I102" s="11">
        <f>단가대비표!V42</f>
        <v>0</v>
      </c>
      <c r="J102" s="12">
        <f>TRUNC(I102*D102,1)</f>
        <v>0</v>
      </c>
      <c r="K102" s="11">
        <f t="shared" si="21"/>
        <v>246892</v>
      </c>
      <c r="L102" s="12">
        <f t="shared" si="21"/>
        <v>49378.400000000001</v>
      </c>
      <c r="M102" s="8" t="s">
        <v>386</v>
      </c>
      <c r="N102" s="2" t="s">
        <v>234</v>
      </c>
      <c r="O102" s="2" t="s">
        <v>387</v>
      </c>
      <c r="P102" s="2" t="s">
        <v>54</v>
      </c>
      <c r="Q102" s="2" t="s">
        <v>54</v>
      </c>
      <c r="R102" s="2" t="s">
        <v>60</v>
      </c>
      <c r="S102" s="3"/>
      <c r="T102" s="3"/>
      <c r="U102" s="3"/>
      <c r="V102" s="3">
        <v>1</v>
      </c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388</v>
      </c>
      <c r="AX102" s="2" t="s">
        <v>52</v>
      </c>
      <c r="AY102" s="2" t="s">
        <v>52</v>
      </c>
    </row>
    <row r="103" spans="1:51" ht="30" customHeight="1">
      <c r="A103" s="8" t="s">
        <v>186</v>
      </c>
      <c r="B103" s="8" t="s">
        <v>187</v>
      </c>
      <c r="C103" s="8" t="s">
        <v>188</v>
      </c>
      <c r="D103" s="9">
        <v>0.1</v>
      </c>
      <c r="E103" s="11">
        <f>단가대비표!O34</f>
        <v>0</v>
      </c>
      <c r="F103" s="12">
        <f>TRUNC(E103*D103,1)</f>
        <v>0</v>
      </c>
      <c r="G103" s="11">
        <f>단가대비표!P34</f>
        <v>138989</v>
      </c>
      <c r="H103" s="12">
        <f>TRUNC(G103*D103,1)</f>
        <v>13898.9</v>
      </c>
      <c r="I103" s="11">
        <f>단가대비표!V34</f>
        <v>0</v>
      </c>
      <c r="J103" s="12">
        <f>TRUNC(I103*D103,1)</f>
        <v>0</v>
      </c>
      <c r="K103" s="11">
        <f t="shared" si="21"/>
        <v>138989</v>
      </c>
      <c r="L103" s="12">
        <f t="shared" si="21"/>
        <v>13898.9</v>
      </c>
      <c r="M103" s="8" t="s">
        <v>52</v>
      </c>
      <c r="N103" s="2" t="s">
        <v>234</v>
      </c>
      <c r="O103" s="2" t="s">
        <v>189</v>
      </c>
      <c r="P103" s="2" t="s">
        <v>54</v>
      </c>
      <c r="Q103" s="2" t="s">
        <v>54</v>
      </c>
      <c r="R103" s="2" t="s">
        <v>60</v>
      </c>
      <c r="S103" s="3"/>
      <c r="T103" s="3"/>
      <c r="U103" s="3"/>
      <c r="V103" s="3">
        <v>1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52</v>
      </c>
      <c r="AW103" s="2" t="s">
        <v>389</v>
      </c>
      <c r="AX103" s="2" t="s">
        <v>52</v>
      </c>
      <c r="AY103" s="2" t="s">
        <v>52</v>
      </c>
    </row>
    <row r="104" spans="1:51" ht="30" customHeight="1">
      <c r="A104" s="8" t="s">
        <v>304</v>
      </c>
      <c r="B104" s="8" t="s">
        <v>390</v>
      </c>
      <c r="C104" s="8" t="s">
        <v>306</v>
      </c>
      <c r="D104" s="9">
        <v>2.16</v>
      </c>
      <c r="E104" s="11">
        <f>일위대가목록!E21</f>
        <v>14392</v>
      </c>
      <c r="F104" s="12">
        <f>TRUNC(E104*D104,1)</f>
        <v>31086.7</v>
      </c>
      <c r="G104" s="11">
        <f>일위대가목록!F21</f>
        <v>42474</v>
      </c>
      <c r="H104" s="12">
        <f>TRUNC(G104*D104,1)</f>
        <v>91743.8</v>
      </c>
      <c r="I104" s="11">
        <f>일위대가목록!G21</f>
        <v>21332</v>
      </c>
      <c r="J104" s="12">
        <f>TRUNC(I104*D104,1)</f>
        <v>46077.1</v>
      </c>
      <c r="K104" s="11">
        <f t="shared" si="21"/>
        <v>78198</v>
      </c>
      <c r="L104" s="12">
        <f t="shared" si="21"/>
        <v>168907.6</v>
      </c>
      <c r="M104" s="8" t="s">
        <v>52</v>
      </c>
      <c r="N104" s="2" t="s">
        <v>234</v>
      </c>
      <c r="O104" s="2" t="s">
        <v>391</v>
      </c>
      <c r="P104" s="2" t="s">
        <v>60</v>
      </c>
      <c r="Q104" s="2" t="s">
        <v>54</v>
      </c>
      <c r="R104" s="2" t="s">
        <v>54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52</v>
      </c>
      <c r="AW104" s="2" t="s">
        <v>392</v>
      </c>
      <c r="AX104" s="2" t="s">
        <v>52</v>
      </c>
      <c r="AY104" s="2" t="s">
        <v>52</v>
      </c>
    </row>
    <row r="105" spans="1:51" ht="30" customHeight="1">
      <c r="A105" s="8" t="s">
        <v>375</v>
      </c>
      <c r="B105" s="8" t="s">
        <v>393</v>
      </c>
      <c r="C105" s="8" t="s">
        <v>94</v>
      </c>
      <c r="D105" s="9">
        <v>1</v>
      </c>
      <c r="E105" s="11">
        <v>0</v>
      </c>
      <c r="F105" s="12">
        <f>TRUNC(E105*D105,1)</f>
        <v>0</v>
      </c>
      <c r="G105" s="11">
        <v>0</v>
      </c>
      <c r="H105" s="12">
        <f>TRUNC(G105*D105,1)</f>
        <v>0</v>
      </c>
      <c r="I105" s="11">
        <f>TRUNC(SUMIF(V101:V105, RIGHTB(O105, 1), H101:H105)*U105, 2)</f>
        <v>11346.2</v>
      </c>
      <c r="J105" s="12">
        <f>TRUNC(I105*D105,1)</f>
        <v>11346.2</v>
      </c>
      <c r="K105" s="11">
        <f t="shared" si="21"/>
        <v>11346.2</v>
      </c>
      <c r="L105" s="12">
        <f t="shared" si="21"/>
        <v>11346.2</v>
      </c>
      <c r="M105" s="8" t="s">
        <v>52</v>
      </c>
      <c r="N105" s="2" t="s">
        <v>234</v>
      </c>
      <c r="O105" s="2" t="s">
        <v>95</v>
      </c>
      <c r="P105" s="2" t="s">
        <v>54</v>
      </c>
      <c r="Q105" s="2" t="s">
        <v>54</v>
      </c>
      <c r="R105" s="2" t="s">
        <v>54</v>
      </c>
      <c r="S105" s="3">
        <v>1</v>
      </c>
      <c r="T105" s="3">
        <v>2</v>
      </c>
      <c r="U105" s="3">
        <v>0.05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394</v>
      </c>
      <c r="AX105" s="2" t="s">
        <v>52</v>
      </c>
      <c r="AY105" s="2" t="s">
        <v>52</v>
      </c>
    </row>
    <row r="106" spans="1:51" ht="30" customHeight="1">
      <c r="A106" s="8" t="s">
        <v>208</v>
      </c>
      <c r="B106" s="8" t="s">
        <v>52</v>
      </c>
      <c r="C106" s="8" t="s">
        <v>52</v>
      </c>
      <c r="D106" s="9"/>
      <c r="E106" s="11"/>
      <c r="F106" s="12">
        <f>TRUNC(SUMIF(N101:N105, N100, F101:F105),0)</f>
        <v>31086</v>
      </c>
      <c r="G106" s="11"/>
      <c r="H106" s="12">
        <f>TRUNC(SUMIF(N101:N105, N100, H101:H105),0)</f>
        <v>318667</v>
      </c>
      <c r="I106" s="11"/>
      <c r="J106" s="12">
        <f>TRUNC(SUMIF(N101:N105, N100, J101:J105),0)</f>
        <v>57423</v>
      </c>
      <c r="K106" s="11"/>
      <c r="L106" s="12">
        <f>F106+H106+J106</f>
        <v>407176</v>
      </c>
      <c r="M106" s="8" t="s">
        <v>52</v>
      </c>
      <c r="N106" s="2" t="s">
        <v>209</v>
      </c>
      <c r="O106" s="2" t="s">
        <v>209</v>
      </c>
      <c r="P106" s="2" t="s">
        <v>52</v>
      </c>
      <c r="Q106" s="2" t="s">
        <v>52</v>
      </c>
      <c r="R106" s="2" t="s">
        <v>52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52</v>
      </c>
      <c r="AX106" s="2" t="s">
        <v>52</v>
      </c>
      <c r="AY106" s="2" t="s">
        <v>52</v>
      </c>
    </row>
    <row r="107" spans="1:51" ht="30" customHeight="1">
      <c r="A107" s="9"/>
      <c r="B107" s="9"/>
      <c r="C107" s="9"/>
      <c r="D107" s="9"/>
      <c r="E107" s="11"/>
      <c r="F107" s="12"/>
      <c r="G107" s="11"/>
      <c r="H107" s="12"/>
      <c r="I107" s="11"/>
      <c r="J107" s="12"/>
      <c r="K107" s="11"/>
      <c r="L107" s="12"/>
      <c r="M107" s="9"/>
    </row>
    <row r="108" spans="1:51" ht="30" customHeight="1">
      <c r="A108" s="288" t="s">
        <v>395</v>
      </c>
      <c r="B108" s="288"/>
      <c r="C108" s="288"/>
      <c r="D108" s="288"/>
      <c r="E108" s="289"/>
      <c r="F108" s="290"/>
      <c r="G108" s="289"/>
      <c r="H108" s="290"/>
      <c r="I108" s="289"/>
      <c r="J108" s="290"/>
      <c r="K108" s="289"/>
      <c r="L108" s="290"/>
      <c r="M108" s="288"/>
      <c r="N108" s="1" t="s">
        <v>237</v>
      </c>
    </row>
    <row r="109" spans="1:51" ht="30" customHeight="1">
      <c r="A109" s="8" t="s">
        <v>381</v>
      </c>
      <c r="B109" s="8" t="s">
        <v>382</v>
      </c>
      <c r="C109" s="8" t="s">
        <v>188</v>
      </c>
      <c r="D109" s="9">
        <v>0.52</v>
      </c>
      <c r="E109" s="11">
        <f>단가대비표!O40</f>
        <v>0</v>
      </c>
      <c r="F109" s="12">
        <f>TRUNC(E109*D109,1)</f>
        <v>0</v>
      </c>
      <c r="G109" s="11">
        <f>단가대비표!P40</f>
        <v>333973</v>
      </c>
      <c r="H109" s="12">
        <f>TRUNC(G109*D109,1)</f>
        <v>173665.9</v>
      </c>
      <c r="I109" s="11">
        <f>단가대비표!V40</f>
        <v>0</v>
      </c>
      <c r="J109" s="12">
        <f>TRUNC(I109*D109,1)</f>
        <v>0</v>
      </c>
      <c r="K109" s="11">
        <f t="shared" ref="K109:L112" si="22">TRUNC(E109+G109+I109,1)</f>
        <v>333973</v>
      </c>
      <c r="L109" s="12">
        <f t="shared" si="22"/>
        <v>173665.9</v>
      </c>
      <c r="M109" s="8" t="s">
        <v>52</v>
      </c>
      <c r="N109" s="2" t="s">
        <v>237</v>
      </c>
      <c r="O109" s="2" t="s">
        <v>383</v>
      </c>
      <c r="P109" s="2" t="s">
        <v>54</v>
      </c>
      <c r="Q109" s="2" t="s">
        <v>54</v>
      </c>
      <c r="R109" s="2" t="s">
        <v>60</v>
      </c>
      <c r="S109" s="3"/>
      <c r="T109" s="3"/>
      <c r="U109" s="3"/>
      <c r="V109" s="3">
        <v>1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398</v>
      </c>
      <c r="AX109" s="2" t="s">
        <v>52</v>
      </c>
      <c r="AY109" s="2" t="s">
        <v>52</v>
      </c>
    </row>
    <row r="110" spans="1:51" ht="30" customHeight="1">
      <c r="A110" s="8" t="s">
        <v>385</v>
      </c>
      <c r="B110" s="8" t="s">
        <v>382</v>
      </c>
      <c r="C110" s="8" t="s">
        <v>188</v>
      </c>
      <c r="D110" s="9">
        <v>0.21</v>
      </c>
      <c r="E110" s="11">
        <f>단가대비표!O42</f>
        <v>0</v>
      </c>
      <c r="F110" s="12">
        <f>TRUNC(E110*D110,1)</f>
        <v>0</v>
      </c>
      <c r="G110" s="11">
        <f>단가대비표!P42</f>
        <v>246892</v>
      </c>
      <c r="H110" s="12">
        <f>TRUNC(G110*D110,1)</f>
        <v>51847.3</v>
      </c>
      <c r="I110" s="11">
        <f>단가대비표!V42</f>
        <v>0</v>
      </c>
      <c r="J110" s="12">
        <f>TRUNC(I110*D110,1)</f>
        <v>0</v>
      </c>
      <c r="K110" s="11">
        <f t="shared" si="22"/>
        <v>246892</v>
      </c>
      <c r="L110" s="12">
        <f t="shared" si="22"/>
        <v>51847.3</v>
      </c>
      <c r="M110" s="8" t="s">
        <v>386</v>
      </c>
      <c r="N110" s="2" t="s">
        <v>237</v>
      </c>
      <c r="O110" s="2" t="s">
        <v>387</v>
      </c>
      <c r="P110" s="2" t="s">
        <v>54</v>
      </c>
      <c r="Q110" s="2" t="s">
        <v>54</v>
      </c>
      <c r="R110" s="2" t="s">
        <v>60</v>
      </c>
      <c r="S110" s="3"/>
      <c r="T110" s="3"/>
      <c r="U110" s="3"/>
      <c r="V110" s="3">
        <v>1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399</v>
      </c>
      <c r="AX110" s="2" t="s">
        <v>52</v>
      </c>
      <c r="AY110" s="2" t="s">
        <v>52</v>
      </c>
    </row>
    <row r="111" spans="1:51" ht="30" customHeight="1">
      <c r="A111" s="8" t="s">
        <v>186</v>
      </c>
      <c r="B111" s="8" t="s">
        <v>187</v>
      </c>
      <c r="C111" s="8" t="s">
        <v>188</v>
      </c>
      <c r="D111" s="9">
        <v>0.11</v>
      </c>
      <c r="E111" s="11">
        <f>단가대비표!O34</f>
        <v>0</v>
      </c>
      <c r="F111" s="12">
        <f>TRUNC(E111*D111,1)</f>
        <v>0</v>
      </c>
      <c r="G111" s="11">
        <f>단가대비표!P34</f>
        <v>138989</v>
      </c>
      <c r="H111" s="12">
        <f>TRUNC(G111*D111,1)</f>
        <v>15288.7</v>
      </c>
      <c r="I111" s="11">
        <f>단가대비표!V34</f>
        <v>0</v>
      </c>
      <c r="J111" s="12">
        <f>TRUNC(I111*D111,1)</f>
        <v>0</v>
      </c>
      <c r="K111" s="11">
        <f t="shared" si="22"/>
        <v>138989</v>
      </c>
      <c r="L111" s="12">
        <f t="shared" si="22"/>
        <v>15288.7</v>
      </c>
      <c r="M111" s="8" t="s">
        <v>52</v>
      </c>
      <c r="N111" s="2" t="s">
        <v>237</v>
      </c>
      <c r="O111" s="2" t="s">
        <v>189</v>
      </c>
      <c r="P111" s="2" t="s">
        <v>54</v>
      </c>
      <c r="Q111" s="2" t="s">
        <v>54</v>
      </c>
      <c r="R111" s="2" t="s">
        <v>60</v>
      </c>
      <c r="S111" s="3"/>
      <c r="T111" s="3"/>
      <c r="U111" s="3"/>
      <c r="V111" s="3">
        <v>1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52</v>
      </c>
      <c r="AW111" s="2" t="s">
        <v>400</v>
      </c>
      <c r="AX111" s="2" t="s">
        <v>52</v>
      </c>
      <c r="AY111" s="2" t="s">
        <v>52</v>
      </c>
    </row>
    <row r="112" spans="1:51" ht="30" customHeight="1">
      <c r="A112" s="8" t="s">
        <v>375</v>
      </c>
      <c r="B112" s="8" t="s">
        <v>393</v>
      </c>
      <c r="C112" s="8" t="s">
        <v>94</v>
      </c>
      <c r="D112" s="9">
        <v>1</v>
      </c>
      <c r="E112" s="11">
        <v>0</v>
      </c>
      <c r="F112" s="12">
        <f>TRUNC(E112*D112,1)</f>
        <v>0</v>
      </c>
      <c r="G112" s="11">
        <v>0</v>
      </c>
      <c r="H112" s="12">
        <f>TRUNC(G112*D112,1)</f>
        <v>0</v>
      </c>
      <c r="I112" s="11">
        <f>TRUNC(SUMIF(V109:V112, RIGHTB(O112, 1), H109:H112)*U112, 2)</f>
        <v>12040.09</v>
      </c>
      <c r="J112" s="12">
        <f>TRUNC(I112*D112,1)</f>
        <v>12040</v>
      </c>
      <c r="K112" s="11">
        <f t="shared" si="22"/>
        <v>12040</v>
      </c>
      <c r="L112" s="12">
        <f t="shared" si="22"/>
        <v>12040</v>
      </c>
      <c r="M112" s="8" t="s">
        <v>52</v>
      </c>
      <c r="N112" s="2" t="s">
        <v>237</v>
      </c>
      <c r="O112" s="2" t="s">
        <v>95</v>
      </c>
      <c r="P112" s="2" t="s">
        <v>54</v>
      </c>
      <c r="Q112" s="2" t="s">
        <v>54</v>
      </c>
      <c r="R112" s="2" t="s">
        <v>54</v>
      </c>
      <c r="S112" s="3">
        <v>1</v>
      </c>
      <c r="T112" s="3">
        <v>2</v>
      </c>
      <c r="U112" s="3">
        <v>0.05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52</v>
      </c>
      <c r="AW112" s="2" t="s">
        <v>401</v>
      </c>
      <c r="AX112" s="2" t="s">
        <v>52</v>
      </c>
      <c r="AY112" s="2" t="s">
        <v>52</v>
      </c>
    </row>
    <row r="113" spans="1:51" ht="30" customHeight="1">
      <c r="A113" s="8" t="s">
        <v>208</v>
      </c>
      <c r="B113" s="8" t="s">
        <v>52</v>
      </c>
      <c r="C113" s="8" t="s">
        <v>52</v>
      </c>
      <c r="D113" s="9"/>
      <c r="E113" s="11"/>
      <c r="F113" s="12">
        <f>TRUNC(SUMIF(N109:N112, N108, F109:F112),0)</f>
        <v>0</v>
      </c>
      <c r="G113" s="11"/>
      <c r="H113" s="12">
        <f>TRUNC(SUMIF(N109:N112, N108, H109:H112),0)</f>
        <v>240801</v>
      </c>
      <c r="I113" s="11"/>
      <c r="J113" s="12">
        <f>TRUNC(SUMIF(N109:N112, N108, J109:J112),0)</f>
        <v>12040</v>
      </c>
      <c r="K113" s="11"/>
      <c r="L113" s="12">
        <f>F113+H113+J113</f>
        <v>252841</v>
      </c>
      <c r="M113" s="8" t="s">
        <v>52</v>
      </c>
      <c r="N113" s="2" t="s">
        <v>209</v>
      </c>
      <c r="O113" s="2" t="s">
        <v>209</v>
      </c>
      <c r="P113" s="2" t="s">
        <v>52</v>
      </c>
      <c r="Q113" s="2" t="s">
        <v>52</v>
      </c>
      <c r="R113" s="2" t="s">
        <v>52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52</v>
      </c>
      <c r="AX113" s="2" t="s">
        <v>52</v>
      </c>
      <c r="AY113" s="2" t="s">
        <v>52</v>
      </c>
    </row>
    <row r="114" spans="1:51" ht="30" customHeight="1">
      <c r="A114" s="9"/>
      <c r="B114" s="9"/>
      <c r="C114" s="9"/>
      <c r="D114" s="9"/>
      <c r="E114" s="11"/>
      <c r="F114" s="12"/>
      <c r="G114" s="11"/>
      <c r="H114" s="12"/>
      <c r="I114" s="11"/>
      <c r="J114" s="12"/>
      <c r="K114" s="11"/>
      <c r="L114" s="12"/>
      <c r="M114" s="9"/>
    </row>
    <row r="115" spans="1:51" ht="30" customHeight="1">
      <c r="A115" s="288" t="s">
        <v>402</v>
      </c>
      <c r="B115" s="288"/>
      <c r="C115" s="288"/>
      <c r="D115" s="288"/>
      <c r="E115" s="289"/>
      <c r="F115" s="290"/>
      <c r="G115" s="289"/>
      <c r="H115" s="290"/>
      <c r="I115" s="289"/>
      <c r="J115" s="290"/>
      <c r="K115" s="289"/>
      <c r="L115" s="290"/>
      <c r="M115" s="288"/>
      <c r="N115" s="1" t="s">
        <v>347</v>
      </c>
    </row>
    <row r="116" spans="1:51" ht="30" customHeight="1">
      <c r="A116" s="8" t="s">
        <v>304</v>
      </c>
      <c r="B116" s="8" t="s">
        <v>346</v>
      </c>
      <c r="C116" s="8" t="s">
        <v>310</v>
      </c>
      <c r="D116" s="9">
        <v>0.20849999999999999</v>
      </c>
      <c r="E116" s="11">
        <f>단가대비표!O5</f>
        <v>0</v>
      </c>
      <c r="F116" s="12">
        <f>TRUNC(E116*D116,1)</f>
        <v>0</v>
      </c>
      <c r="G116" s="11">
        <f>단가대비표!P5</f>
        <v>0</v>
      </c>
      <c r="H116" s="12">
        <f>TRUNC(G116*D116,1)</f>
        <v>0</v>
      </c>
      <c r="I116" s="11">
        <f>단가대비표!V5</f>
        <v>59000</v>
      </c>
      <c r="J116" s="12">
        <f>TRUNC(I116*D116,1)</f>
        <v>12301.5</v>
      </c>
      <c r="K116" s="11">
        <f t="shared" ref="K116:L119" si="23">TRUNC(E116+G116+I116,1)</f>
        <v>59000</v>
      </c>
      <c r="L116" s="12">
        <f t="shared" si="23"/>
        <v>12301.5</v>
      </c>
      <c r="M116" s="8" t="s">
        <v>311</v>
      </c>
      <c r="N116" s="2" t="s">
        <v>347</v>
      </c>
      <c r="O116" s="2" t="s">
        <v>404</v>
      </c>
      <c r="P116" s="2" t="s">
        <v>54</v>
      </c>
      <c r="Q116" s="2" t="s">
        <v>54</v>
      </c>
      <c r="R116" s="2" t="s">
        <v>60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52</v>
      </c>
      <c r="AW116" s="2" t="s">
        <v>405</v>
      </c>
      <c r="AX116" s="2" t="s">
        <v>52</v>
      </c>
      <c r="AY116" s="2" t="s">
        <v>52</v>
      </c>
    </row>
    <row r="117" spans="1:51" ht="30" customHeight="1">
      <c r="A117" s="8" t="s">
        <v>314</v>
      </c>
      <c r="B117" s="8" t="s">
        <v>315</v>
      </c>
      <c r="C117" s="8" t="s">
        <v>316</v>
      </c>
      <c r="D117" s="9">
        <v>5</v>
      </c>
      <c r="E117" s="193">
        <f>단가대비표!O18</f>
        <v>1017</v>
      </c>
      <c r="F117" s="12">
        <f>TRUNC(E117*D117,1)</f>
        <v>5085</v>
      </c>
      <c r="G117" s="11">
        <f>단가대비표!P18</f>
        <v>0</v>
      </c>
      <c r="H117" s="12">
        <f>TRUNC(G117*D117,1)</f>
        <v>0</v>
      </c>
      <c r="I117" s="11">
        <f>단가대비표!V18</f>
        <v>0</v>
      </c>
      <c r="J117" s="12">
        <f>TRUNC(I117*D117,1)</f>
        <v>0</v>
      </c>
      <c r="K117" s="11">
        <f t="shared" si="23"/>
        <v>1017</v>
      </c>
      <c r="L117" s="12">
        <f t="shared" si="23"/>
        <v>5085</v>
      </c>
      <c r="M117" s="8" t="s">
        <v>52</v>
      </c>
      <c r="N117" s="2" t="s">
        <v>347</v>
      </c>
      <c r="O117" s="2" t="s">
        <v>317</v>
      </c>
      <c r="P117" s="2" t="s">
        <v>54</v>
      </c>
      <c r="Q117" s="2" t="s">
        <v>54</v>
      </c>
      <c r="R117" s="2" t="s">
        <v>60</v>
      </c>
      <c r="S117" s="3"/>
      <c r="T117" s="3"/>
      <c r="U117" s="3"/>
      <c r="V117" s="3">
        <v>1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52</v>
      </c>
      <c r="AW117" s="2" t="s">
        <v>406</v>
      </c>
      <c r="AX117" s="2" t="s">
        <v>52</v>
      </c>
      <c r="AY117" s="2" t="s">
        <v>52</v>
      </c>
    </row>
    <row r="118" spans="1:51" ht="30" customHeight="1">
      <c r="A118" s="8" t="s">
        <v>319</v>
      </c>
      <c r="B118" s="8" t="s">
        <v>407</v>
      </c>
      <c r="C118" s="8" t="s">
        <v>94</v>
      </c>
      <c r="D118" s="9">
        <v>1</v>
      </c>
      <c r="E118" s="11">
        <f>TRUNC(SUMIF(V116:V119, RIGHTB(O118, 1), F116:F119)*U118, 2)</f>
        <v>1067.8499999999999</v>
      </c>
      <c r="F118" s="12">
        <f>TRUNC(E118*D118,1)</f>
        <v>1067.8</v>
      </c>
      <c r="G118" s="11">
        <v>0</v>
      </c>
      <c r="H118" s="12">
        <f>TRUNC(G118*D118,1)</f>
        <v>0</v>
      </c>
      <c r="I118" s="11">
        <v>0</v>
      </c>
      <c r="J118" s="12">
        <f>TRUNC(I118*D118,1)</f>
        <v>0</v>
      </c>
      <c r="K118" s="11">
        <f t="shared" si="23"/>
        <v>1067.8</v>
      </c>
      <c r="L118" s="12">
        <f t="shared" si="23"/>
        <v>1067.8</v>
      </c>
      <c r="M118" s="8" t="s">
        <v>52</v>
      </c>
      <c r="N118" s="2" t="s">
        <v>347</v>
      </c>
      <c r="O118" s="2" t="s">
        <v>95</v>
      </c>
      <c r="P118" s="2" t="s">
        <v>54</v>
      </c>
      <c r="Q118" s="2" t="s">
        <v>54</v>
      </c>
      <c r="R118" s="2" t="s">
        <v>54</v>
      </c>
      <c r="S118" s="3">
        <v>0</v>
      </c>
      <c r="T118" s="3">
        <v>0</v>
      </c>
      <c r="U118" s="3">
        <v>0.21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408</v>
      </c>
      <c r="AX118" s="2" t="s">
        <v>52</v>
      </c>
      <c r="AY118" s="2" t="s">
        <v>52</v>
      </c>
    </row>
    <row r="119" spans="1:51" ht="30" customHeight="1">
      <c r="A119" s="8" t="s">
        <v>322</v>
      </c>
      <c r="B119" s="8" t="s">
        <v>187</v>
      </c>
      <c r="C119" s="8" t="s">
        <v>188</v>
      </c>
      <c r="D119" s="9">
        <v>1</v>
      </c>
      <c r="E119" s="11">
        <f>TRUNC(단가대비표!O38*1/8*16/12*25/20, 1)</f>
        <v>0</v>
      </c>
      <c r="F119" s="12">
        <f>TRUNC(E119*D119,1)</f>
        <v>0</v>
      </c>
      <c r="G119" s="11">
        <f>TRUNC(단가대비표!P38*1/8*16/12*25/20, 1)</f>
        <v>42474.5</v>
      </c>
      <c r="H119" s="12">
        <f>TRUNC(G119*D119,1)</f>
        <v>42474.5</v>
      </c>
      <c r="I119" s="11">
        <f>TRUNC(단가대비표!V38*1/8*16/12*25/20, 1)</f>
        <v>0</v>
      </c>
      <c r="J119" s="12">
        <f>TRUNC(I119*D119,1)</f>
        <v>0</v>
      </c>
      <c r="K119" s="11">
        <f t="shared" si="23"/>
        <v>42474.5</v>
      </c>
      <c r="L119" s="12">
        <f t="shared" si="23"/>
        <v>42474.5</v>
      </c>
      <c r="M119" s="8" t="s">
        <v>52</v>
      </c>
      <c r="N119" s="2" t="s">
        <v>347</v>
      </c>
      <c r="O119" s="2" t="s">
        <v>323</v>
      </c>
      <c r="P119" s="2" t="s">
        <v>54</v>
      </c>
      <c r="Q119" s="2" t="s">
        <v>54</v>
      </c>
      <c r="R119" s="2" t="s">
        <v>60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409</v>
      </c>
      <c r="AX119" s="2" t="s">
        <v>60</v>
      </c>
      <c r="AY119" s="2" t="s">
        <v>52</v>
      </c>
    </row>
    <row r="120" spans="1:51" ht="30" customHeight="1">
      <c r="A120" s="8" t="s">
        <v>208</v>
      </c>
      <c r="B120" s="8" t="s">
        <v>52</v>
      </c>
      <c r="C120" s="8" t="s">
        <v>52</v>
      </c>
      <c r="D120" s="9"/>
      <c r="E120" s="11"/>
      <c r="F120" s="12">
        <f>TRUNC(SUMIF(N116:N119, N115, F116:F119),0)</f>
        <v>6152</v>
      </c>
      <c r="G120" s="11"/>
      <c r="H120" s="12">
        <f>TRUNC(SUMIF(N116:N119, N115, H116:H119),0)</f>
        <v>42474</v>
      </c>
      <c r="I120" s="11"/>
      <c r="J120" s="12">
        <f>TRUNC(SUMIF(N116:N119, N115, J116:J119),0)</f>
        <v>12301</v>
      </c>
      <c r="K120" s="11"/>
      <c r="L120" s="12">
        <f>F120+H120+J120</f>
        <v>60927</v>
      </c>
      <c r="M120" s="8" t="s">
        <v>52</v>
      </c>
      <c r="N120" s="2" t="s">
        <v>209</v>
      </c>
      <c r="O120" s="2" t="s">
        <v>209</v>
      </c>
      <c r="P120" s="2" t="s">
        <v>52</v>
      </c>
      <c r="Q120" s="2" t="s">
        <v>52</v>
      </c>
      <c r="R120" s="2" t="s">
        <v>52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52</v>
      </c>
      <c r="AX120" s="2" t="s">
        <v>52</v>
      </c>
      <c r="AY120" s="2" t="s">
        <v>52</v>
      </c>
    </row>
    <row r="121" spans="1:51" ht="30" customHeight="1">
      <c r="A121" s="9"/>
      <c r="B121" s="9"/>
      <c r="C121" s="9"/>
      <c r="D121" s="9"/>
      <c r="E121" s="11"/>
      <c r="F121" s="12"/>
      <c r="G121" s="11"/>
      <c r="H121" s="12"/>
      <c r="I121" s="11"/>
      <c r="J121" s="12"/>
      <c r="K121" s="11"/>
      <c r="L121" s="12"/>
      <c r="M121" s="9"/>
    </row>
    <row r="122" spans="1:51" ht="30" customHeight="1">
      <c r="A122" s="288" t="s">
        <v>410</v>
      </c>
      <c r="B122" s="288"/>
      <c r="C122" s="288"/>
      <c r="D122" s="288"/>
      <c r="E122" s="289"/>
      <c r="F122" s="290"/>
      <c r="G122" s="289"/>
      <c r="H122" s="290"/>
      <c r="I122" s="289"/>
      <c r="J122" s="290"/>
      <c r="K122" s="289"/>
      <c r="L122" s="290"/>
      <c r="M122" s="288"/>
      <c r="N122" s="1" t="s">
        <v>351</v>
      </c>
    </row>
    <row r="123" spans="1:51" ht="30" customHeight="1">
      <c r="A123" s="8" t="s">
        <v>349</v>
      </c>
      <c r="B123" s="8" t="s">
        <v>350</v>
      </c>
      <c r="C123" s="8" t="s">
        <v>310</v>
      </c>
      <c r="D123" s="9">
        <v>0.28249999999999997</v>
      </c>
      <c r="E123" s="11">
        <f>단가대비표!O8</f>
        <v>0</v>
      </c>
      <c r="F123" s="12">
        <f>TRUNC(E123*D123,1)</f>
        <v>0</v>
      </c>
      <c r="G123" s="11">
        <f>단가대비표!P8</f>
        <v>0</v>
      </c>
      <c r="H123" s="12">
        <f>TRUNC(G123*D123,1)</f>
        <v>0</v>
      </c>
      <c r="I123" s="11">
        <f>단가대비표!V8</f>
        <v>5948</v>
      </c>
      <c r="J123" s="12">
        <f>TRUNC(I123*D123,1)</f>
        <v>1680.3</v>
      </c>
      <c r="K123" s="11">
        <f t="shared" ref="K123:L126" si="24">TRUNC(E123+G123+I123,1)</f>
        <v>5948</v>
      </c>
      <c r="L123" s="12">
        <f t="shared" si="24"/>
        <v>1680.3</v>
      </c>
      <c r="M123" s="8" t="s">
        <v>311</v>
      </c>
      <c r="N123" s="2" t="s">
        <v>351</v>
      </c>
      <c r="O123" s="2" t="s">
        <v>413</v>
      </c>
      <c r="P123" s="2" t="s">
        <v>54</v>
      </c>
      <c r="Q123" s="2" t="s">
        <v>54</v>
      </c>
      <c r="R123" s="2" t="s">
        <v>60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414</v>
      </c>
      <c r="AX123" s="2" t="s">
        <v>52</v>
      </c>
      <c r="AY123" s="2" t="s">
        <v>52</v>
      </c>
    </row>
    <row r="124" spans="1:51" ht="30" customHeight="1">
      <c r="A124" s="8" t="s">
        <v>314</v>
      </c>
      <c r="B124" s="8" t="s">
        <v>315</v>
      </c>
      <c r="C124" s="8" t="s">
        <v>316</v>
      </c>
      <c r="D124" s="9">
        <v>2.2000000000000002</v>
      </c>
      <c r="E124" s="11">
        <f>단가대비표!O18</f>
        <v>1017</v>
      </c>
      <c r="F124" s="12">
        <f>TRUNC(E124*D124,1)</f>
        <v>2237.4</v>
      </c>
      <c r="G124" s="11">
        <f>단가대비표!P18</f>
        <v>0</v>
      </c>
      <c r="H124" s="12">
        <f>TRUNC(G124*D124,1)</f>
        <v>0</v>
      </c>
      <c r="I124" s="11">
        <f>단가대비표!V18</f>
        <v>0</v>
      </c>
      <c r="J124" s="12">
        <f>TRUNC(I124*D124,1)</f>
        <v>0</v>
      </c>
      <c r="K124" s="11">
        <f t="shared" si="24"/>
        <v>1017</v>
      </c>
      <c r="L124" s="12">
        <f t="shared" si="24"/>
        <v>2237.4</v>
      </c>
      <c r="M124" s="8" t="s">
        <v>52</v>
      </c>
      <c r="N124" s="2" t="s">
        <v>351</v>
      </c>
      <c r="O124" s="2" t="s">
        <v>317</v>
      </c>
      <c r="P124" s="2" t="s">
        <v>54</v>
      </c>
      <c r="Q124" s="2" t="s">
        <v>54</v>
      </c>
      <c r="R124" s="2" t="s">
        <v>60</v>
      </c>
      <c r="S124" s="3"/>
      <c r="T124" s="3"/>
      <c r="U124" s="3"/>
      <c r="V124" s="3">
        <v>1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415</v>
      </c>
      <c r="AX124" s="2" t="s">
        <v>52</v>
      </c>
      <c r="AY124" s="2" t="s">
        <v>52</v>
      </c>
    </row>
    <row r="125" spans="1:51" ht="30" customHeight="1">
      <c r="A125" s="8" t="s">
        <v>319</v>
      </c>
      <c r="B125" s="8" t="s">
        <v>416</v>
      </c>
      <c r="C125" s="8" t="s">
        <v>94</v>
      </c>
      <c r="D125" s="9">
        <v>1</v>
      </c>
      <c r="E125" s="11">
        <f>TRUNC(SUMIF(V123:V126, RIGHTB(O125, 1), F123:F126)*U125, 2)</f>
        <v>290.86</v>
      </c>
      <c r="F125" s="12">
        <f>TRUNC(E125*D125,1)</f>
        <v>290.8</v>
      </c>
      <c r="G125" s="11">
        <v>0</v>
      </c>
      <c r="H125" s="12">
        <f>TRUNC(G125*D125,1)</f>
        <v>0</v>
      </c>
      <c r="I125" s="11">
        <v>0</v>
      </c>
      <c r="J125" s="12">
        <f>TRUNC(I125*D125,1)</f>
        <v>0</v>
      </c>
      <c r="K125" s="11">
        <f t="shared" si="24"/>
        <v>290.8</v>
      </c>
      <c r="L125" s="12">
        <f t="shared" si="24"/>
        <v>290.8</v>
      </c>
      <c r="M125" s="8" t="s">
        <v>52</v>
      </c>
      <c r="N125" s="2" t="s">
        <v>351</v>
      </c>
      <c r="O125" s="2" t="s">
        <v>95</v>
      </c>
      <c r="P125" s="2" t="s">
        <v>54</v>
      </c>
      <c r="Q125" s="2" t="s">
        <v>54</v>
      </c>
      <c r="R125" s="2" t="s">
        <v>54</v>
      </c>
      <c r="S125" s="3">
        <v>0</v>
      </c>
      <c r="T125" s="3">
        <v>0</v>
      </c>
      <c r="U125" s="3">
        <v>0.13</v>
      </c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417</v>
      </c>
      <c r="AX125" s="2" t="s">
        <v>52</v>
      </c>
      <c r="AY125" s="2" t="s">
        <v>52</v>
      </c>
    </row>
    <row r="126" spans="1:51" ht="30" customHeight="1">
      <c r="A126" s="8" t="s">
        <v>339</v>
      </c>
      <c r="B126" s="8" t="s">
        <v>187</v>
      </c>
      <c r="C126" s="8" t="s">
        <v>188</v>
      </c>
      <c r="D126" s="9">
        <v>1</v>
      </c>
      <c r="E126" s="11">
        <f>TRUNC(단가대비표!O39*1/8*16/12*25/20, 1)</f>
        <v>0</v>
      </c>
      <c r="F126" s="12">
        <f>TRUNC(E126*D126,1)</f>
        <v>0</v>
      </c>
      <c r="G126" s="11">
        <f>TRUNC(단가대비표!P39*1/8*16/12*25/20, 1)</f>
        <v>28744.5</v>
      </c>
      <c r="H126" s="12">
        <f>TRUNC(G126*D126,1)</f>
        <v>28744.5</v>
      </c>
      <c r="I126" s="11">
        <f>TRUNC(단가대비표!V39*1/8*16/12*25/20, 1)</f>
        <v>0</v>
      </c>
      <c r="J126" s="12">
        <f>TRUNC(I126*D126,1)</f>
        <v>0</v>
      </c>
      <c r="K126" s="11">
        <f t="shared" si="24"/>
        <v>28744.5</v>
      </c>
      <c r="L126" s="12">
        <f t="shared" si="24"/>
        <v>28744.5</v>
      </c>
      <c r="M126" s="8" t="s">
        <v>52</v>
      </c>
      <c r="N126" s="2" t="s">
        <v>351</v>
      </c>
      <c r="O126" s="2" t="s">
        <v>340</v>
      </c>
      <c r="P126" s="2" t="s">
        <v>54</v>
      </c>
      <c r="Q126" s="2" t="s">
        <v>54</v>
      </c>
      <c r="R126" s="2" t="s">
        <v>60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418</v>
      </c>
      <c r="AX126" s="2" t="s">
        <v>60</v>
      </c>
      <c r="AY126" s="2" t="s">
        <v>52</v>
      </c>
    </row>
    <row r="127" spans="1:51" ht="30" customHeight="1">
      <c r="A127" s="8" t="s">
        <v>208</v>
      </c>
      <c r="B127" s="8" t="s">
        <v>52</v>
      </c>
      <c r="C127" s="8" t="s">
        <v>52</v>
      </c>
      <c r="D127" s="9"/>
      <c r="E127" s="11"/>
      <c r="F127" s="12">
        <f>TRUNC(SUMIF(N123:N126, N122, F123:F126),0)</f>
        <v>2528</v>
      </c>
      <c r="G127" s="11"/>
      <c r="H127" s="12">
        <f>TRUNC(SUMIF(N123:N126, N122, H123:H126),0)</f>
        <v>28744</v>
      </c>
      <c r="I127" s="11"/>
      <c r="J127" s="12">
        <f>TRUNC(SUMIF(N123:N126, N122, J123:J126),0)</f>
        <v>1680</v>
      </c>
      <c r="K127" s="11"/>
      <c r="L127" s="12">
        <f>F127+H127+J127</f>
        <v>32952</v>
      </c>
      <c r="M127" s="8" t="s">
        <v>52</v>
      </c>
      <c r="N127" s="2" t="s">
        <v>209</v>
      </c>
      <c r="O127" s="2" t="s">
        <v>209</v>
      </c>
      <c r="P127" s="2" t="s">
        <v>52</v>
      </c>
      <c r="Q127" s="2" t="s">
        <v>52</v>
      </c>
      <c r="R127" s="2" t="s">
        <v>52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52</v>
      </c>
      <c r="AX127" s="2" t="s">
        <v>52</v>
      </c>
      <c r="AY127" s="2" t="s">
        <v>52</v>
      </c>
    </row>
    <row r="128" spans="1:51" ht="30" customHeight="1">
      <c r="A128" s="9"/>
      <c r="B128" s="9"/>
      <c r="C128" s="9"/>
      <c r="D128" s="9"/>
      <c r="E128" s="11"/>
      <c r="F128" s="12"/>
      <c r="G128" s="11"/>
      <c r="H128" s="12"/>
      <c r="I128" s="11"/>
      <c r="J128" s="12"/>
      <c r="K128" s="11"/>
      <c r="L128" s="12"/>
      <c r="M128" s="9"/>
    </row>
    <row r="129" spans="1:51" ht="30" customHeight="1">
      <c r="A129" s="288" t="s">
        <v>419</v>
      </c>
      <c r="B129" s="288"/>
      <c r="C129" s="288"/>
      <c r="D129" s="288"/>
      <c r="E129" s="289"/>
      <c r="F129" s="290"/>
      <c r="G129" s="289"/>
      <c r="H129" s="290"/>
      <c r="I129" s="289"/>
      <c r="J129" s="290"/>
      <c r="K129" s="289"/>
      <c r="L129" s="290"/>
      <c r="M129" s="288"/>
      <c r="N129" s="1" t="s">
        <v>391</v>
      </c>
    </row>
    <row r="130" spans="1:51" ht="30" customHeight="1">
      <c r="A130" s="8" t="s">
        <v>304</v>
      </c>
      <c r="B130" s="8" t="s">
        <v>390</v>
      </c>
      <c r="C130" s="8" t="s">
        <v>310</v>
      </c>
      <c r="D130" s="9">
        <v>0.20849999999999999</v>
      </c>
      <c r="E130" s="11">
        <f>단가대비표!O7</f>
        <v>0</v>
      </c>
      <c r="F130" s="12">
        <f>TRUNC(E130*D130,1)</f>
        <v>0</v>
      </c>
      <c r="G130" s="11">
        <f>단가대비표!P7</f>
        <v>0</v>
      </c>
      <c r="H130" s="12">
        <f>TRUNC(G130*D130,1)</f>
        <v>0</v>
      </c>
      <c r="I130" s="11">
        <f>단가대비표!V7</f>
        <v>102313</v>
      </c>
      <c r="J130" s="12">
        <f>TRUNC(I130*D130,1)</f>
        <v>21332.2</v>
      </c>
      <c r="K130" s="11">
        <f t="shared" ref="K130:L133" si="25">TRUNC(E130+G130+I130,1)</f>
        <v>102313</v>
      </c>
      <c r="L130" s="12">
        <f t="shared" si="25"/>
        <v>21332.2</v>
      </c>
      <c r="M130" s="8" t="s">
        <v>311</v>
      </c>
      <c r="N130" s="2" t="s">
        <v>391</v>
      </c>
      <c r="O130" s="2" t="s">
        <v>421</v>
      </c>
      <c r="P130" s="2" t="s">
        <v>54</v>
      </c>
      <c r="Q130" s="2" t="s">
        <v>54</v>
      </c>
      <c r="R130" s="2" t="s">
        <v>60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422</v>
      </c>
      <c r="AX130" s="2" t="s">
        <v>52</v>
      </c>
      <c r="AY130" s="2" t="s">
        <v>52</v>
      </c>
    </row>
    <row r="131" spans="1:51" ht="30" customHeight="1">
      <c r="A131" s="8" t="s">
        <v>314</v>
      </c>
      <c r="B131" s="8" t="s">
        <v>315</v>
      </c>
      <c r="C131" s="8" t="s">
        <v>316</v>
      </c>
      <c r="D131" s="9">
        <v>11.6</v>
      </c>
      <c r="E131" s="11">
        <f>단가대비표!O18</f>
        <v>1017</v>
      </c>
      <c r="F131" s="12">
        <f>TRUNC(E131*D131,1)</f>
        <v>11797.2</v>
      </c>
      <c r="G131" s="11">
        <f>단가대비표!P18</f>
        <v>0</v>
      </c>
      <c r="H131" s="12">
        <f>TRUNC(G131*D131,1)</f>
        <v>0</v>
      </c>
      <c r="I131" s="11">
        <f>단가대비표!V18</f>
        <v>0</v>
      </c>
      <c r="J131" s="12">
        <f>TRUNC(I131*D131,1)</f>
        <v>0</v>
      </c>
      <c r="K131" s="11">
        <f t="shared" si="25"/>
        <v>1017</v>
      </c>
      <c r="L131" s="12">
        <f t="shared" si="25"/>
        <v>11797.2</v>
      </c>
      <c r="M131" s="8" t="s">
        <v>52</v>
      </c>
      <c r="N131" s="2" t="s">
        <v>391</v>
      </c>
      <c r="O131" s="2" t="s">
        <v>317</v>
      </c>
      <c r="P131" s="2" t="s">
        <v>54</v>
      </c>
      <c r="Q131" s="2" t="s">
        <v>54</v>
      </c>
      <c r="R131" s="2" t="s">
        <v>60</v>
      </c>
      <c r="S131" s="3"/>
      <c r="T131" s="3"/>
      <c r="U131" s="3"/>
      <c r="V131" s="3">
        <v>1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423</v>
      </c>
      <c r="AX131" s="2" t="s">
        <v>52</v>
      </c>
      <c r="AY131" s="2" t="s">
        <v>52</v>
      </c>
    </row>
    <row r="132" spans="1:51" ht="30" customHeight="1">
      <c r="A132" s="8" t="s">
        <v>319</v>
      </c>
      <c r="B132" s="8" t="s">
        <v>320</v>
      </c>
      <c r="C132" s="8" t="s">
        <v>94</v>
      </c>
      <c r="D132" s="9">
        <v>1</v>
      </c>
      <c r="E132" s="11">
        <f>TRUNC(SUMIF(V130:V133, RIGHTB(O132, 1), F130:F133)*U132, 2)</f>
        <v>2595.38</v>
      </c>
      <c r="F132" s="12">
        <f>TRUNC(E132*D132,1)</f>
        <v>2595.3000000000002</v>
      </c>
      <c r="G132" s="11">
        <v>0</v>
      </c>
      <c r="H132" s="12">
        <f>TRUNC(G132*D132,1)</f>
        <v>0</v>
      </c>
      <c r="I132" s="11">
        <v>0</v>
      </c>
      <c r="J132" s="12">
        <f>TRUNC(I132*D132,1)</f>
        <v>0</v>
      </c>
      <c r="K132" s="11">
        <f t="shared" si="25"/>
        <v>2595.3000000000002</v>
      </c>
      <c r="L132" s="12">
        <f t="shared" si="25"/>
        <v>2595.3000000000002</v>
      </c>
      <c r="M132" s="8" t="s">
        <v>52</v>
      </c>
      <c r="N132" s="2" t="s">
        <v>391</v>
      </c>
      <c r="O132" s="2" t="s">
        <v>95</v>
      </c>
      <c r="P132" s="2" t="s">
        <v>54</v>
      </c>
      <c r="Q132" s="2" t="s">
        <v>54</v>
      </c>
      <c r="R132" s="2" t="s">
        <v>54</v>
      </c>
      <c r="S132" s="3">
        <v>0</v>
      </c>
      <c r="T132" s="3">
        <v>0</v>
      </c>
      <c r="U132" s="3">
        <v>0.22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52</v>
      </c>
      <c r="AW132" s="2" t="s">
        <v>424</v>
      </c>
      <c r="AX132" s="2" t="s">
        <v>52</v>
      </c>
      <c r="AY132" s="2" t="s">
        <v>52</v>
      </c>
    </row>
    <row r="133" spans="1:51" ht="30" customHeight="1">
      <c r="A133" s="8" t="s">
        <v>322</v>
      </c>
      <c r="B133" s="8" t="s">
        <v>187</v>
      </c>
      <c r="C133" s="8" t="s">
        <v>188</v>
      </c>
      <c r="D133" s="9">
        <v>1</v>
      </c>
      <c r="E133" s="11">
        <f>TRUNC(단가대비표!O38*1/8*16/12*25/20, 1)</f>
        <v>0</v>
      </c>
      <c r="F133" s="12">
        <f>TRUNC(E133*D133,1)</f>
        <v>0</v>
      </c>
      <c r="G133" s="11">
        <f>TRUNC(단가대비표!P38*1/8*16/12*25/20, 1)</f>
        <v>42474.5</v>
      </c>
      <c r="H133" s="12">
        <f>TRUNC(G133*D133,1)</f>
        <v>42474.5</v>
      </c>
      <c r="I133" s="11">
        <f>TRUNC(단가대비표!V38*1/8*16/12*25/20, 1)</f>
        <v>0</v>
      </c>
      <c r="J133" s="12">
        <f>TRUNC(I133*D133,1)</f>
        <v>0</v>
      </c>
      <c r="K133" s="11">
        <f t="shared" si="25"/>
        <v>42474.5</v>
      </c>
      <c r="L133" s="12">
        <f t="shared" si="25"/>
        <v>42474.5</v>
      </c>
      <c r="M133" s="8" t="s">
        <v>52</v>
      </c>
      <c r="N133" s="2" t="s">
        <v>391</v>
      </c>
      <c r="O133" s="2" t="s">
        <v>323</v>
      </c>
      <c r="P133" s="2" t="s">
        <v>54</v>
      </c>
      <c r="Q133" s="2" t="s">
        <v>54</v>
      </c>
      <c r="R133" s="2" t="s">
        <v>60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52</v>
      </c>
      <c r="AW133" s="2" t="s">
        <v>425</v>
      </c>
      <c r="AX133" s="2" t="s">
        <v>60</v>
      </c>
      <c r="AY133" s="2" t="s">
        <v>52</v>
      </c>
    </row>
    <row r="134" spans="1:51" ht="30" customHeight="1">
      <c r="A134" s="8" t="s">
        <v>208</v>
      </c>
      <c r="B134" s="8" t="s">
        <v>52</v>
      </c>
      <c r="C134" s="8" t="s">
        <v>52</v>
      </c>
      <c r="D134" s="9"/>
      <c r="E134" s="11"/>
      <c r="F134" s="12">
        <f>TRUNC(SUMIF(N130:N133, N129, F130:F133),0)</f>
        <v>14392</v>
      </c>
      <c r="G134" s="11"/>
      <c r="H134" s="12">
        <f>TRUNC(SUMIF(N130:N133, N129, H130:H133),0)</f>
        <v>42474</v>
      </c>
      <c r="I134" s="11"/>
      <c r="J134" s="12">
        <f>TRUNC(SUMIF(N130:N133, N129, J130:J133),0)</f>
        <v>21332</v>
      </c>
      <c r="K134" s="11"/>
      <c r="L134" s="12">
        <f>F134+H134+J134</f>
        <v>78198</v>
      </c>
      <c r="M134" s="8" t="s">
        <v>52</v>
      </c>
      <c r="N134" s="2" t="s">
        <v>209</v>
      </c>
      <c r="O134" s="2" t="s">
        <v>209</v>
      </c>
      <c r="P134" s="2" t="s">
        <v>52</v>
      </c>
      <c r="Q134" s="2" t="s">
        <v>52</v>
      </c>
      <c r="R134" s="2" t="s">
        <v>52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52</v>
      </c>
      <c r="AW134" s="2" t="s">
        <v>52</v>
      </c>
      <c r="AX134" s="2" t="s">
        <v>52</v>
      </c>
      <c r="AY134" s="2" t="s">
        <v>52</v>
      </c>
    </row>
    <row r="135" spans="1:51" ht="30" customHeight="1">
      <c r="A135" s="9"/>
      <c r="B135" s="9"/>
      <c r="C135" s="9"/>
      <c r="D135" s="9"/>
      <c r="E135" s="11"/>
      <c r="F135" s="12"/>
      <c r="G135" s="11"/>
      <c r="H135" s="12"/>
      <c r="I135" s="11"/>
      <c r="J135" s="12"/>
      <c r="K135" s="11"/>
      <c r="L135" s="12"/>
      <c r="M135" s="9"/>
    </row>
    <row r="136" spans="1:51" ht="30" customHeight="1">
      <c r="A136" s="288" t="s">
        <v>426</v>
      </c>
      <c r="B136" s="288"/>
      <c r="C136" s="288"/>
      <c r="D136" s="288"/>
      <c r="E136" s="289"/>
      <c r="F136" s="290"/>
      <c r="G136" s="289"/>
      <c r="H136" s="290"/>
      <c r="I136" s="289"/>
      <c r="J136" s="290"/>
      <c r="K136" s="289"/>
      <c r="L136" s="290"/>
      <c r="M136" s="288"/>
      <c r="N136" s="1" t="s">
        <v>242</v>
      </c>
    </row>
    <row r="137" spans="1:51" ht="30" customHeight="1">
      <c r="A137" s="8" t="s">
        <v>429</v>
      </c>
      <c r="B137" s="8" t="s">
        <v>430</v>
      </c>
      <c r="C137" s="8" t="s">
        <v>74</v>
      </c>
      <c r="D137" s="9">
        <v>5.5E-2</v>
      </c>
      <c r="E137" s="11">
        <f>단가대비표!O16</f>
        <v>35000</v>
      </c>
      <c r="F137" s="12">
        <f>TRUNC(E137*D137,1)</f>
        <v>1925</v>
      </c>
      <c r="G137" s="11">
        <f>단가대비표!P16</f>
        <v>0</v>
      </c>
      <c r="H137" s="12">
        <f>TRUNC(G137*D137,1)</f>
        <v>0</v>
      </c>
      <c r="I137" s="11">
        <f>단가대비표!V16</f>
        <v>0</v>
      </c>
      <c r="J137" s="12">
        <f>TRUNC(I137*D137,1)</f>
        <v>0</v>
      </c>
      <c r="K137" s="11">
        <f t="shared" ref="K137:L141" si="26">TRUNC(E137+G137+I137,1)</f>
        <v>35000</v>
      </c>
      <c r="L137" s="12">
        <f t="shared" si="26"/>
        <v>1925</v>
      </c>
      <c r="M137" s="8" t="s">
        <v>366</v>
      </c>
      <c r="N137" s="2" t="s">
        <v>242</v>
      </c>
      <c r="O137" s="2" t="s">
        <v>431</v>
      </c>
      <c r="P137" s="2" t="s">
        <v>54</v>
      </c>
      <c r="Q137" s="2" t="s">
        <v>54</v>
      </c>
      <c r="R137" s="2" t="s">
        <v>60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432</v>
      </c>
      <c r="AX137" s="2" t="s">
        <v>52</v>
      </c>
      <c r="AY137" s="2" t="s">
        <v>52</v>
      </c>
    </row>
    <row r="138" spans="1:51" ht="30" customHeight="1">
      <c r="A138" s="8" t="s">
        <v>381</v>
      </c>
      <c r="B138" s="8" t="s">
        <v>382</v>
      </c>
      <c r="C138" s="8" t="s">
        <v>188</v>
      </c>
      <c r="D138" s="9">
        <v>1.35</v>
      </c>
      <c r="E138" s="11">
        <f>단가대비표!O40</f>
        <v>0</v>
      </c>
      <c r="F138" s="12">
        <f>TRUNC(E138*D138,1)</f>
        <v>0</v>
      </c>
      <c r="G138" s="11">
        <f>단가대비표!P40</f>
        <v>333973</v>
      </c>
      <c r="H138" s="12">
        <f>TRUNC(G138*D138,1)</f>
        <v>450863.5</v>
      </c>
      <c r="I138" s="11">
        <f>단가대비표!V40</f>
        <v>0</v>
      </c>
      <c r="J138" s="12">
        <f>TRUNC(I138*D138,1)</f>
        <v>0</v>
      </c>
      <c r="K138" s="11">
        <f t="shared" si="26"/>
        <v>333973</v>
      </c>
      <c r="L138" s="12">
        <f t="shared" si="26"/>
        <v>450863.5</v>
      </c>
      <c r="M138" s="8" t="s">
        <v>52</v>
      </c>
      <c r="N138" s="2" t="s">
        <v>242</v>
      </c>
      <c r="O138" s="2" t="s">
        <v>383</v>
      </c>
      <c r="P138" s="2" t="s">
        <v>54</v>
      </c>
      <c r="Q138" s="2" t="s">
        <v>54</v>
      </c>
      <c r="R138" s="2" t="s">
        <v>60</v>
      </c>
      <c r="S138" s="3"/>
      <c r="T138" s="3"/>
      <c r="U138" s="3"/>
      <c r="V138" s="3">
        <v>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433</v>
      </c>
      <c r="AX138" s="2" t="s">
        <v>52</v>
      </c>
      <c r="AY138" s="2" t="s">
        <v>52</v>
      </c>
    </row>
    <row r="139" spans="1:51" ht="30" customHeight="1">
      <c r="A139" s="8" t="s">
        <v>385</v>
      </c>
      <c r="B139" s="8" t="s">
        <v>382</v>
      </c>
      <c r="C139" s="8" t="s">
        <v>188</v>
      </c>
      <c r="D139" s="9">
        <v>0.54</v>
      </c>
      <c r="E139" s="11">
        <f>단가대비표!O42</f>
        <v>0</v>
      </c>
      <c r="F139" s="12">
        <f>TRUNC(E139*D139,1)</f>
        <v>0</v>
      </c>
      <c r="G139" s="11">
        <f>단가대비표!P42</f>
        <v>246892</v>
      </c>
      <c r="H139" s="12">
        <f>TRUNC(G139*D139,1)</f>
        <v>133321.60000000001</v>
      </c>
      <c r="I139" s="11">
        <f>단가대비표!V42</f>
        <v>0</v>
      </c>
      <c r="J139" s="12">
        <f>TRUNC(I139*D139,1)</f>
        <v>0</v>
      </c>
      <c r="K139" s="11">
        <f t="shared" si="26"/>
        <v>246892</v>
      </c>
      <c r="L139" s="12">
        <f t="shared" si="26"/>
        <v>133321.60000000001</v>
      </c>
      <c r="M139" s="8" t="s">
        <v>386</v>
      </c>
      <c r="N139" s="2" t="s">
        <v>242</v>
      </c>
      <c r="O139" s="2" t="s">
        <v>387</v>
      </c>
      <c r="P139" s="2" t="s">
        <v>54</v>
      </c>
      <c r="Q139" s="2" t="s">
        <v>54</v>
      </c>
      <c r="R139" s="2" t="s">
        <v>60</v>
      </c>
      <c r="S139" s="3"/>
      <c r="T139" s="3"/>
      <c r="U139" s="3"/>
      <c r="V139" s="3">
        <v>1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52</v>
      </c>
      <c r="AW139" s="2" t="s">
        <v>434</v>
      </c>
      <c r="AX139" s="2" t="s">
        <v>52</v>
      </c>
      <c r="AY139" s="2" t="s">
        <v>52</v>
      </c>
    </row>
    <row r="140" spans="1:51" ht="30" customHeight="1">
      <c r="A140" s="8" t="s">
        <v>186</v>
      </c>
      <c r="B140" s="8" t="s">
        <v>187</v>
      </c>
      <c r="C140" s="8" t="s">
        <v>188</v>
      </c>
      <c r="D140" s="9">
        <v>0.27</v>
      </c>
      <c r="E140" s="11">
        <f>단가대비표!O34</f>
        <v>0</v>
      </c>
      <c r="F140" s="12">
        <f>TRUNC(E140*D140,1)</f>
        <v>0</v>
      </c>
      <c r="G140" s="11">
        <f>단가대비표!P34</f>
        <v>138989</v>
      </c>
      <c r="H140" s="12">
        <f>TRUNC(G140*D140,1)</f>
        <v>37527</v>
      </c>
      <c r="I140" s="11">
        <f>단가대비표!V34</f>
        <v>0</v>
      </c>
      <c r="J140" s="12">
        <f>TRUNC(I140*D140,1)</f>
        <v>0</v>
      </c>
      <c r="K140" s="11">
        <f t="shared" si="26"/>
        <v>138989</v>
      </c>
      <c r="L140" s="12">
        <f t="shared" si="26"/>
        <v>37527</v>
      </c>
      <c r="M140" s="8" t="s">
        <v>52</v>
      </c>
      <c r="N140" s="2" t="s">
        <v>242</v>
      </c>
      <c r="O140" s="2" t="s">
        <v>189</v>
      </c>
      <c r="P140" s="2" t="s">
        <v>54</v>
      </c>
      <c r="Q140" s="2" t="s">
        <v>54</v>
      </c>
      <c r="R140" s="2" t="s">
        <v>60</v>
      </c>
      <c r="S140" s="3"/>
      <c r="T140" s="3"/>
      <c r="U140" s="3"/>
      <c r="V140" s="3">
        <v>1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52</v>
      </c>
      <c r="AW140" s="2" t="s">
        <v>435</v>
      </c>
      <c r="AX140" s="2" t="s">
        <v>52</v>
      </c>
      <c r="AY140" s="2" t="s">
        <v>52</v>
      </c>
    </row>
    <row r="141" spans="1:51" ht="30" customHeight="1">
      <c r="A141" s="8" t="s">
        <v>375</v>
      </c>
      <c r="B141" s="8" t="s">
        <v>393</v>
      </c>
      <c r="C141" s="8" t="s">
        <v>94</v>
      </c>
      <c r="D141" s="9">
        <v>1</v>
      </c>
      <c r="E141" s="11">
        <v>0</v>
      </c>
      <c r="F141" s="12">
        <f>TRUNC(E141*D141,1)</f>
        <v>0</v>
      </c>
      <c r="G141" s="11">
        <v>0</v>
      </c>
      <c r="H141" s="12">
        <f>TRUNC(G141*D141,1)</f>
        <v>0</v>
      </c>
      <c r="I141" s="11">
        <f>TRUNC(SUMIF(V137:V141, RIGHTB(O141, 1), H137:H141)*U141, 2)</f>
        <v>31085.599999999999</v>
      </c>
      <c r="J141" s="12">
        <f>TRUNC(I141*D141,1)</f>
        <v>31085.599999999999</v>
      </c>
      <c r="K141" s="11">
        <f t="shared" si="26"/>
        <v>31085.599999999999</v>
      </c>
      <c r="L141" s="12">
        <f t="shared" si="26"/>
        <v>31085.599999999999</v>
      </c>
      <c r="M141" s="8" t="s">
        <v>52</v>
      </c>
      <c r="N141" s="2" t="s">
        <v>242</v>
      </c>
      <c r="O141" s="2" t="s">
        <v>95</v>
      </c>
      <c r="P141" s="2" t="s">
        <v>54</v>
      </c>
      <c r="Q141" s="2" t="s">
        <v>54</v>
      </c>
      <c r="R141" s="2" t="s">
        <v>54</v>
      </c>
      <c r="S141" s="3">
        <v>1</v>
      </c>
      <c r="T141" s="3">
        <v>2</v>
      </c>
      <c r="U141" s="3">
        <v>0.05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436</v>
      </c>
      <c r="AX141" s="2" t="s">
        <v>52</v>
      </c>
      <c r="AY141" s="2" t="s">
        <v>52</v>
      </c>
    </row>
    <row r="142" spans="1:51" ht="30" customHeight="1">
      <c r="A142" s="8" t="s">
        <v>208</v>
      </c>
      <c r="B142" s="8" t="s">
        <v>52</v>
      </c>
      <c r="C142" s="8" t="s">
        <v>52</v>
      </c>
      <c r="D142" s="9"/>
      <c r="E142" s="11"/>
      <c r="F142" s="12">
        <f>TRUNC(SUMIF(N137:N141, N136, F137:F141),0)</f>
        <v>1925</v>
      </c>
      <c r="G142" s="11"/>
      <c r="H142" s="12">
        <f>TRUNC(SUMIF(N137:N141, N136, H137:H141),0)</f>
        <v>621712</v>
      </c>
      <c r="I142" s="11"/>
      <c r="J142" s="12">
        <f>TRUNC(SUMIF(N137:N141, N136, J137:J141),0)</f>
        <v>31085</v>
      </c>
      <c r="K142" s="11"/>
      <c r="L142" s="12">
        <f>F142+H142+J142</f>
        <v>654722</v>
      </c>
      <c r="M142" s="8" t="s">
        <v>52</v>
      </c>
      <c r="N142" s="2" t="s">
        <v>209</v>
      </c>
      <c r="O142" s="2" t="s">
        <v>209</v>
      </c>
      <c r="P142" s="2" t="s">
        <v>52</v>
      </c>
      <c r="Q142" s="2" t="s">
        <v>52</v>
      </c>
      <c r="R142" s="2" t="s">
        <v>52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52</v>
      </c>
      <c r="AX142" s="2" t="s">
        <v>52</v>
      </c>
      <c r="AY142" s="2" t="s">
        <v>52</v>
      </c>
    </row>
    <row r="143" spans="1:51" ht="30" customHeight="1">
      <c r="A143" s="9"/>
      <c r="B143" s="9"/>
      <c r="C143" s="9"/>
      <c r="D143" s="9"/>
      <c r="E143" s="11"/>
      <c r="F143" s="12"/>
      <c r="G143" s="11"/>
      <c r="H143" s="12"/>
      <c r="I143" s="11"/>
      <c r="J143" s="12"/>
      <c r="K143" s="11"/>
      <c r="L143" s="12"/>
      <c r="M143" s="9"/>
    </row>
    <row r="144" spans="1:51" ht="30" customHeight="1">
      <c r="A144" s="288" t="s">
        <v>805</v>
      </c>
      <c r="B144" s="288"/>
      <c r="C144" s="288"/>
      <c r="D144" s="288"/>
      <c r="E144" s="289"/>
      <c r="F144" s="290"/>
      <c r="G144" s="289"/>
      <c r="H144" s="290"/>
      <c r="I144" s="289"/>
      <c r="J144" s="290"/>
      <c r="K144" s="289"/>
      <c r="L144" s="290"/>
      <c r="M144" s="288"/>
      <c r="N144" s="1" t="s">
        <v>245</v>
      </c>
    </row>
    <row r="145" spans="1:51" ht="30" customHeight="1">
      <c r="A145" s="8" t="s">
        <v>360</v>
      </c>
      <c r="B145" s="8" t="s">
        <v>361</v>
      </c>
      <c r="C145" s="8" t="s">
        <v>202</v>
      </c>
      <c r="D145" s="9">
        <v>360</v>
      </c>
      <c r="E145" s="11">
        <f>단가대비표!O27</f>
        <v>140</v>
      </c>
      <c r="F145" s="12">
        <f t="shared" ref="F145:F150" si="27">TRUNC(E145*D145,1)</f>
        <v>50400</v>
      </c>
      <c r="G145" s="11">
        <f>단가대비표!P27</f>
        <v>0</v>
      </c>
      <c r="H145" s="12">
        <f t="shared" ref="H145:H150" si="28">TRUNC(G145*D145,1)</f>
        <v>0</v>
      </c>
      <c r="I145" s="11">
        <f>단가대비표!V27</f>
        <v>0</v>
      </c>
      <c r="J145" s="12">
        <f t="shared" ref="J145:J150" si="29">TRUNC(I145*D145,1)</f>
        <v>0</v>
      </c>
      <c r="K145" s="11">
        <f t="shared" ref="K145:L150" si="30">TRUNC(E145+G145+I145,1)</f>
        <v>140</v>
      </c>
      <c r="L145" s="12">
        <f t="shared" si="30"/>
        <v>50400</v>
      </c>
      <c r="M145" s="8" t="s">
        <v>52</v>
      </c>
      <c r="N145" s="2" t="s">
        <v>245</v>
      </c>
      <c r="O145" s="2" t="s">
        <v>362</v>
      </c>
      <c r="P145" s="2" t="s">
        <v>54</v>
      </c>
      <c r="Q145" s="2" t="s">
        <v>54</v>
      </c>
      <c r="R145" s="2" t="s">
        <v>60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439</v>
      </c>
      <c r="AX145" s="2" t="s">
        <v>52</v>
      </c>
      <c r="AY145" s="2" t="s">
        <v>52</v>
      </c>
    </row>
    <row r="146" spans="1:51" ht="30" customHeight="1">
      <c r="A146" s="8" t="s">
        <v>440</v>
      </c>
      <c r="B146" s="8" t="s">
        <v>441</v>
      </c>
      <c r="C146" s="8" t="s">
        <v>202</v>
      </c>
      <c r="D146" s="9">
        <v>150</v>
      </c>
      <c r="E146" s="11">
        <f>단가대비표!O25</f>
        <v>248</v>
      </c>
      <c r="F146" s="12">
        <f t="shared" si="27"/>
        <v>37200</v>
      </c>
      <c r="G146" s="11">
        <f>단가대비표!P25</f>
        <v>0</v>
      </c>
      <c r="H146" s="12">
        <f t="shared" si="28"/>
        <v>0</v>
      </c>
      <c r="I146" s="11">
        <f>단가대비표!V25</f>
        <v>0</v>
      </c>
      <c r="J146" s="12">
        <f t="shared" si="29"/>
        <v>0</v>
      </c>
      <c r="K146" s="11">
        <f t="shared" si="30"/>
        <v>248</v>
      </c>
      <c r="L146" s="12">
        <f t="shared" si="30"/>
        <v>37200</v>
      </c>
      <c r="M146" s="8" t="s">
        <v>366</v>
      </c>
      <c r="N146" s="2" t="s">
        <v>245</v>
      </c>
      <c r="O146" s="2" t="s">
        <v>442</v>
      </c>
      <c r="P146" s="2" t="s">
        <v>54</v>
      </c>
      <c r="Q146" s="2" t="s">
        <v>54</v>
      </c>
      <c r="R146" s="2" t="s">
        <v>60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443</v>
      </c>
      <c r="AX146" s="2" t="s">
        <v>52</v>
      </c>
      <c r="AY146" s="2" t="s">
        <v>52</v>
      </c>
    </row>
    <row r="147" spans="1:51" ht="30" customHeight="1">
      <c r="A147" s="8" t="s">
        <v>429</v>
      </c>
      <c r="B147" s="8" t="s">
        <v>430</v>
      </c>
      <c r="C147" s="8" t="s">
        <v>74</v>
      </c>
      <c r="D147" s="9">
        <v>1.1000000000000001</v>
      </c>
      <c r="E147" s="11">
        <f>단가대비표!O16</f>
        <v>35000</v>
      </c>
      <c r="F147" s="12">
        <f t="shared" si="27"/>
        <v>38500</v>
      </c>
      <c r="G147" s="11">
        <f>단가대비표!P16</f>
        <v>0</v>
      </c>
      <c r="H147" s="12">
        <f t="shared" si="28"/>
        <v>0</v>
      </c>
      <c r="I147" s="11">
        <f>단가대비표!V16</f>
        <v>0</v>
      </c>
      <c r="J147" s="12">
        <f t="shared" si="29"/>
        <v>0</v>
      </c>
      <c r="K147" s="11">
        <f t="shared" si="30"/>
        <v>35000</v>
      </c>
      <c r="L147" s="12">
        <f t="shared" si="30"/>
        <v>38500</v>
      </c>
      <c r="M147" s="8" t="s">
        <v>366</v>
      </c>
      <c r="N147" s="2" t="s">
        <v>245</v>
      </c>
      <c r="O147" s="2" t="s">
        <v>431</v>
      </c>
      <c r="P147" s="2" t="s">
        <v>54</v>
      </c>
      <c r="Q147" s="2" t="s">
        <v>54</v>
      </c>
      <c r="R147" s="2" t="s">
        <v>60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444</v>
      </c>
      <c r="AX147" s="2" t="s">
        <v>52</v>
      </c>
      <c r="AY147" s="2" t="s">
        <v>52</v>
      </c>
    </row>
    <row r="148" spans="1:51" ht="30" customHeight="1">
      <c r="A148" s="8" t="s">
        <v>445</v>
      </c>
      <c r="B148" s="8" t="s">
        <v>382</v>
      </c>
      <c r="C148" s="8" t="s">
        <v>188</v>
      </c>
      <c r="D148" s="9">
        <v>0.47</v>
      </c>
      <c r="E148" s="11">
        <f>단가대비표!O41</f>
        <v>0</v>
      </c>
      <c r="F148" s="12">
        <f t="shared" si="27"/>
        <v>0</v>
      </c>
      <c r="G148" s="193">
        <f>단가대비표!P41</f>
        <v>213333</v>
      </c>
      <c r="H148" s="12">
        <f t="shared" si="28"/>
        <v>100266.5</v>
      </c>
      <c r="I148" s="11">
        <f>단가대비표!V41</f>
        <v>0</v>
      </c>
      <c r="J148" s="12">
        <f t="shared" si="29"/>
        <v>0</v>
      </c>
      <c r="K148" s="11">
        <f t="shared" si="30"/>
        <v>213333</v>
      </c>
      <c r="L148" s="12">
        <f t="shared" si="30"/>
        <v>100266.5</v>
      </c>
      <c r="M148" s="8" t="s">
        <v>446</v>
      </c>
      <c r="N148" s="2" t="s">
        <v>245</v>
      </c>
      <c r="O148" s="2" t="s">
        <v>447</v>
      </c>
      <c r="P148" s="2" t="s">
        <v>54</v>
      </c>
      <c r="Q148" s="2" t="s">
        <v>54</v>
      </c>
      <c r="R148" s="2" t="s">
        <v>60</v>
      </c>
      <c r="S148" s="3"/>
      <c r="T148" s="3"/>
      <c r="U148" s="3"/>
      <c r="V148" s="3">
        <v>1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448</v>
      </c>
      <c r="AX148" s="2" t="s">
        <v>52</v>
      </c>
      <c r="AY148" s="2" t="s">
        <v>52</v>
      </c>
    </row>
    <row r="149" spans="1:51" ht="30" customHeight="1">
      <c r="A149" s="8" t="s">
        <v>186</v>
      </c>
      <c r="B149" s="8" t="s">
        <v>187</v>
      </c>
      <c r="C149" s="8" t="s">
        <v>188</v>
      </c>
      <c r="D149" s="9">
        <v>0.47</v>
      </c>
      <c r="E149" s="11">
        <f>단가대비표!O34</f>
        <v>0</v>
      </c>
      <c r="F149" s="12">
        <f t="shared" si="27"/>
        <v>0</v>
      </c>
      <c r="G149" s="11">
        <f>단가대비표!P34</f>
        <v>138989</v>
      </c>
      <c r="H149" s="12">
        <f t="shared" si="28"/>
        <v>65324.800000000003</v>
      </c>
      <c r="I149" s="11">
        <f>단가대비표!V34</f>
        <v>0</v>
      </c>
      <c r="J149" s="12">
        <f t="shared" si="29"/>
        <v>0</v>
      </c>
      <c r="K149" s="11">
        <f t="shared" si="30"/>
        <v>138989</v>
      </c>
      <c r="L149" s="12">
        <f t="shared" si="30"/>
        <v>65324.800000000003</v>
      </c>
      <c r="M149" s="8" t="s">
        <v>52</v>
      </c>
      <c r="N149" s="2" t="s">
        <v>245</v>
      </c>
      <c r="O149" s="2" t="s">
        <v>189</v>
      </c>
      <c r="P149" s="2" t="s">
        <v>54</v>
      </c>
      <c r="Q149" s="2" t="s">
        <v>54</v>
      </c>
      <c r="R149" s="2" t="s">
        <v>60</v>
      </c>
      <c r="S149" s="3"/>
      <c r="T149" s="3"/>
      <c r="U149" s="3"/>
      <c r="V149" s="3">
        <v>1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 t="s">
        <v>52</v>
      </c>
      <c r="AW149" s="2" t="s">
        <v>449</v>
      </c>
      <c r="AX149" s="2" t="s">
        <v>52</v>
      </c>
      <c r="AY149" s="2" t="s">
        <v>52</v>
      </c>
    </row>
    <row r="150" spans="1:51" ht="30" customHeight="1">
      <c r="A150" s="8" t="s">
        <v>375</v>
      </c>
      <c r="B150" s="8" t="s">
        <v>376</v>
      </c>
      <c r="C150" s="8" t="s">
        <v>94</v>
      </c>
      <c r="D150" s="9">
        <v>1</v>
      </c>
      <c r="E150" s="11">
        <v>0</v>
      </c>
      <c r="F150" s="12">
        <f t="shared" si="27"/>
        <v>0</v>
      </c>
      <c r="G150" s="11">
        <v>0</v>
      </c>
      <c r="H150" s="12">
        <f t="shared" si="28"/>
        <v>0</v>
      </c>
      <c r="I150" s="11">
        <f>TRUNC(SUMIF(V145:V150, RIGHTB(O150, 1), H145:H150)*U150, 2)</f>
        <v>3311.82</v>
      </c>
      <c r="J150" s="12">
        <f t="shared" si="29"/>
        <v>3311.8</v>
      </c>
      <c r="K150" s="11">
        <f t="shared" si="30"/>
        <v>3311.8</v>
      </c>
      <c r="L150" s="12">
        <f t="shared" si="30"/>
        <v>3311.8</v>
      </c>
      <c r="M150" s="8" t="s">
        <v>52</v>
      </c>
      <c r="N150" s="2" t="s">
        <v>245</v>
      </c>
      <c r="O150" s="2" t="s">
        <v>95</v>
      </c>
      <c r="P150" s="2" t="s">
        <v>54</v>
      </c>
      <c r="Q150" s="2" t="s">
        <v>54</v>
      </c>
      <c r="R150" s="2" t="s">
        <v>54</v>
      </c>
      <c r="S150" s="3">
        <v>1</v>
      </c>
      <c r="T150" s="3">
        <v>2</v>
      </c>
      <c r="U150" s="3">
        <v>0.02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 t="s">
        <v>52</v>
      </c>
      <c r="AW150" s="2" t="s">
        <v>450</v>
      </c>
      <c r="AX150" s="2" t="s">
        <v>52</v>
      </c>
      <c r="AY150" s="2" t="s">
        <v>52</v>
      </c>
    </row>
    <row r="151" spans="1:51" ht="30" customHeight="1">
      <c r="A151" s="8" t="s">
        <v>208</v>
      </c>
      <c r="B151" s="8" t="s">
        <v>52</v>
      </c>
      <c r="C151" s="8" t="s">
        <v>52</v>
      </c>
      <c r="D151" s="9"/>
      <c r="E151" s="11"/>
      <c r="F151" s="12">
        <f>TRUNC(SUMIF(N145:N150, N144, F145:F150),0)</f>
        <v>126100</v>
      </c>
      <c r="G151" s="11"/>
      <c r="H151" s="12">
        <f>TRUNC(SUMIF(N145:N150, N144, H145:H150),0)</f>
        <v>165591</v>
      </c>
      <c r="I151" s="11"/>
      <c r="J151" s="12">
        <f>TRUNC(SUMIF(N145:N150, N144, J145:J150),0)</f>
        <v>3311</v>
      </c>
      <c r="K151" s="11"/>
      <c r="L151" s="12">
        <f>F151+H151+J151</f>
        <v>295002</v>
      </c>
      <c r="M151" s="8" t="s">
        <v>52</v>
      </c>
      <c r="N151" s="2" t="s">
        <v>209</v>
      </c>
      <c r="O151" s="2" t="s">
        <v>209</v>
      </c>
      <c r="P151" s="2" t="s">
        <v>52</v>
      </c>
      <c r="Q151" s="2" t="s">
        <v>52</v>
      </c>
      <c r="R151" s="2" t="s">
        <v>52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52</v>
      </c>
      <c r="AX151" s="2" t="s">
        <v>52</v>
      </c>
      <c r="AY151" s="2" t="s">
        <v>52</v>
      </c>
    </row>
    <row r="152" spans="1:51" ht="30" customHeight="1">
      <c r="A152" s="9"/>
      <c r="B152" s="9"/>
      <c r="C152" s="9"/>
      <c r="D152" s="9"/>
      <c r="E152" s="11"/>
      <c r="F152" s="12"/>
      <c r="G152" s="11"/>
      <c r="H152" s="12"/>
      <c r="I152" s="11"/>
      <c r="J152" s="12"/>
      <c r="K152" s="11"/>
      <c r="L152" s="12"/>
      <c r="M152" s="9"/>
    </row>
    <row r="153" spans="1:51" ht="30" customHeight="1">
      <c r="A153" s="288" t="s">
        <v>451</v>
      </c>
      <c r="B153" s="288"/>
      <c r="C153" s="288"/>
      <c r="D153" s="288"/>
      <c r="E153" s="289"/>
      <c r="F153" s="290"/>
      <c r="G153" s="289"/>
      <c r="H153" s="290"/>
      <c r="I153" s="289"/>
      <c r="J153" s="290"/>
      <c r="K153" s="289"/>
      <c r="L153" s="290"/>
      <c r="M153" s="288"/>
      <c r="N153" s="1" t="s">
        <v>250</v>
      </c>
    </row>
    <row r="154" spans="1:51" ht="30" customHeight="1">
      <c r="A154" s="8" t="s">
        <v>381</v>
      </c>
      <c r="B154" s="8" t="s">
        <v>382</v>
      </c>
      <c r="C154" s="8" t="s">
        <v>188</v>
      </c>
      <c r="D154" s="9">
        <v>0.49</v>
      </c>
      <c r="E154" s="11">
        <f>단가대비표!O40</f>
        <v>0</v>
      </c>
      <c r="F154" s="12">
        <f>TRUNC(E154*D154,1)</f>
        <v>0</v>
      </c>
      <c r="G154" s="11">
        <f>단가대비표!P40</f>
        <v>333973</v>
      </c>
      <c r="H154" s="12">
        <f>TRUNC(G154*D154,1)</f>
        <v>163646.70000000001</v>
      </c>
      <c r="I154" s="11">
        <f>단가대비표!V40</f>
        <v>0</v>
      </c>
      <c r="J154" s="12">
        <f>TRUNC(I154*D154,1)</f>
        <v>0</v>
      </c>
      <c r="K154" s="11">
        <f t="shared" ref="K154:L158" si="31">TRUNC(E154+G154+I154,1)</f>
        <v>333973</v>
      </c>
      <c r="L154" s="12">
        <f t="shared" si="31"/>
        <v>163646.70000000001</v>
      </c>
      <c r="M154" s="8" t="s">
        <v>52</v>
      </c>
      <c r="N154" s="2" t="s">
        <v>250</v>
      </c>
      <c r="O154" s="2" t="s">
        <v>383</v>
      </c>
      <c r="P154" s="2" t="s">
        <v>54</v>
      </c>
      <c r="Q154" s="2" t="s">
        <v>54</v>
      </c>
      <c r="R154" s="2" t="s">
        <v>60</v>
      </c>
      <c r="S154" s="3"/>
      <c r="T154" s="3"/>
      <c r="U154" s="3"/>
      <c r="V154" s="3">
        <v>1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 t="s">
        <v>52</v>
      </c>
      <c r="AW154" s="2" t="s">
        <v>453</v>
      </c>
      <c r="AX154" s="2" t="s">
        <v>52</v>
      </c>
      <c r="AY154" s="2" t="s">
        <v>52</v>
      </c>
    </row>
    <row r="155" spans="1:51" ht="30" customHeight="1">
      <c r="A155" s="8" t="s">
        <v>385</v>
      </c>
      <c r="B155" s="8" t="s">
        <v>382</v>
      </c>
      <c r="C155" s="8" t="s">
        <v>188</v>
      </c>
      <c r="D155" s="9">
        <v>0.2</v>
      </c>
      <c r="E155" s="11">
        <f>단가대비표!O42</f>
        <v>0</v>
      </c>
      <c r="F155" s="12">
        <f>TRUNC(E155*D155,1)</f>
        <v>0</v>
      </c>
      <c r="G155" s="11">
        <f>단가대비표!P42</f>
        <v>246892</v>
      </c>
      <c r="H155" s="12">
        <f>TRUNC(G155*D155,1)</f>
        <v>49378.400000000001</v>
      </c>
      <c r="I155" s="11">
        <f>단가대비표!V42</f>
        <v>0</v>
      </c>
      <c r="J155" s="12">
        <f>TRUNC(I155*D155,1)</f>
        <v>0</v>
      </c>
      <c r="K155" s="11">
        <f t="shared" si="31"/>
        <v>246892</v>
      </c>
      <c r="L155" s="12">
        <f t="shared" si="31"/>
        <v>49378.400000000001</v>
      </c>
      <c r="M155" s="8" t="s">
        <v>386</v>
      </c>
      <c r="N155" s="2" t="s">
        <v>250</v>
      </c>
      <c r="O155" s="2" t="s">
        <v>387</v>
      </c>
      <c r="P155" s="2" t="s">
        <v>54</v>
      </c>
      <c r="Q155" s="2" t="s">
        <v>54</v>
      </c>
      <c r="R155" s="2" t="s">
        <v>60</v>
      </c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454</v>
      </c>
      <c r="AX155" s="2" t="s">
        <v>52</v>
      </c>
      <c r="AY155" s="2" t="s">
        <v>52</v>
      </c>
    </row>
    <row r="156" spans="1:51" ht="30" customHeight="1">
      <c r="A156" s="8" t="s">
        <v>186</v>
      </c>
      <c r="B156" s="8" t="s">
        <v>187</v>
      </c>
      <c r="C156" s="8" t="s">
        <v>188</v>
      </c>
      <c r="D156" s="9">
        <v>0.1</v>
      </c>
      <c r="E156" s="11">
        <f>단가대비표!O34</f>
        <v>0</v>
      </c>
      <c r="F156" s="12">
        <f>TRUNC(E156*D156,1)</f>
        <v>0</v>
      </c>
      <c r="G156" s="11">
        <f>단가대비표!P34</f>
        <v>138989</v>
      </c>
      <c r="H156" s="12">
        <f>TRUNC(G156*D156,1)</f>
        <v>13898.9</v>
      </c>
      <c r="I156" s="11">
        <f>단가대비표!V34</f>
        <v>0</v>
      </c>
      <c r="J156" s="12">
        <f>TRUNC(I156*D156,1)</f>
        <v>0</v>
      </c>
      <c r="K156" s="11">
        <f t="shared" si="31"/>
        <v>138989</v>
      </c>
      <c r="L156" s="12">
        <f t="shared" si="31"/>
        <v>13898.9</v>
      </c>
      <c r="M156" s="8" t="s">
        <v>52</v>
      </c>
      <c r="N156" s="2" t="s">
        <v>250</v>
      </c>
      <c r="O156" s="2" t="s">
        <v>189</v>
      </c>
      <c r="P156" s="2" t="s">
        <v>54</v>
      </c>
      <c r="Q156" s="2" t="s">
        <v>54</v>
      </c>
      <c r="R156" s="2" t="s">
        <v>60</v>
      </c>
      <c r="S156" s="3"/>
      <c r="T156" s="3"/>
      <c r="U156" s="3"/>
      <c r="V156" s="3">
        <v>1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455</v>
      </c>
      <c r="AX156" s="2" t="s">
        <v>52</v>
      </c>
      <c r="AY156" s="2" t="s">
        <v>52</v>
      </c>
    </row>
    <row r="157" spans="1:51" ht="30" customHeight="1">
      <c r="A157" s="8" t="s">
        <v>304</v>
      </c>
      <c r="B157" s="8" t="s">
        <v>390</v>
      </c>
      <c r="C157" s="8" t="s">
        <v>306</v>
      </c>
      <c r="D157" s="9">
        <v>2.16</v>
      </c>
      <c r="E157" s="11">
        <f>일위대가목록!E21</f>
        <v>14392</v>
      </c>
      <c r="F157" s="12">
        <f>TRUNC(E157*D157,1)</f>
        <v>31086.7</v>
      </c>
      <c r="G157" s="11">
        <f>일위대가목록!F21</f>
        <v>42474</v>
      </c>
      <c r="H157" s="12">
        <f>TRUNC(G157*D157,1)</f>
        <v>91743.8</v>
      </c>
      <c r="I157" s="11">
        <f>일위대가목록!G21</f>
        <v>21332</v>
      </c>
      <c r="J157" s="12">
        <f>TRUNC(I157*D157,1)</f>
        <v>46077.1</v>
      </c>
      <c r="K157" s="11">
        <f t="shared" si="31"/>
        <v>78198</v>
      </c>
      <c r="L157" s="12">
        <f t="shared" si="31"/>
        <v>168907.6</v>
      </c>
      <c r="M157" s="8" t="s">
        <v>52</v>
      </c>
      <c r="N157" s="2" t="s">
        <v>250</v>
      </c>
      <c r="O157" s="2" t="s">
        <v>391</v>
      </c>
      <c r="P157" s="2" t="s">
        <v>60</v>
      </c>
      <c r="Q157" s="2" t="s">
        <v>54</v>
      </c>
      <c r="R157" s="2" t="s">
        <v>54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52</v>
      </c>
      <c r="AW157" s="2" t="s">
        <v>456</v>
      </c>
      <c r="AX157" s="2" t="s">
        <v>52</v>
      </c>
      <c r="AY157" s="2" t="s">
        <v>52</v>
      </c>
    </row>
    <row r="158" spans="1:51" ht="30" customHeight="1">
      <c r="A158" s="8" t="s">
        <v>375</v>
      </c>
      <c r="B158" s="8" t="s">
        <v>393</v>
      </c>
      <c r="C158" s="8" t="s">
        <v>94</v>
      </c>
      <c r="D158" s="9">
        <v>1</v>
      </c>
      <c r="E158" s="11">
        <v>0</v>
      </c>
      <c r="F158" s="12">
        <f>TRUNC(E158*D158,1)</f>
        <v>0</v>
      </c>
      <c r="G158" s="11">
        <v>0</v>
      </c>
      <c r="H158" s="12">
        <f>TRUNC(G158*D158,1)</f>
        <v>0</v>
      </c>
      <c r="I158" s="11">
        <f>TRUNC(SUMIF(V154:V158, RIGHTB(O158, 1), H154:H158)*U158, 2)</f>
        <v>11346.2</v>
      </c>
      <c r="J158" s="12">
        <f>TRUNC(I158*D158,1)</f>
        <v>11346.2</v>
      </c>
      <c r="K158" s="11">
        <f t="shared" si="31"/>
        <v>11346.2</v>
      </c>
      <c r="L158" s="12">
        <f t="shared" si="31"/>
        <v>11346.2</v>
      </c>
      <c r="M158" s="8" t="s">
        <v>52</v>
      </c>
      <c r="N158" s="2" t="s">
        <v>250</v>
      </c>
      <c r="O158" s="2" t="s">
        <v>95</v>
      </c>
      <c r="P158" s="2" t="s">
        <v>54</v>
      </c>
      <c r="Q158" s="2" t="s">
        <v>54</v>
      </c>
      <c r="R158" s="2" t="s">
        <v>54</v>
      </c>
      <c r="S158" s="3">
        <v>1</v>
      </c>
      <c r="T158" s="3">
        <v>2</v>
      </c>
      <c r="U158" s="3">
        <v>0.05</v>
      </c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52</v>
      </c>
      <c r="AW158" s="2" t="s">
        <v>457</v>
      </c>
      <c r="AX158" s="2" t="s">
        <v>52</v>
      </c>
      <c r="AY158" s="2" t="s">
        <v>52</v>
      </c>
    </row>
    <row r="159" spans="1:51" ht="30" customHeight="1">
      <c r="A159" s="8" t="s">
        <v>208</v>
      </c>
      <c r="B159" s="8" t="s">
        <v>52</v>
      </c>
      <c r="C159" s="8" t="s">
        <v>52</v>
      </c>
      <c r="D159" s="9"/>
      <c r="E159" s="11"/>
      <c r="F159" s="12">
        <f>TRUNC(SUMIF(N154:N158, N153, F154:F158),0)</f>
        <v>31086</v>
      </c>
      <c r="G159" s="11"/>
      <c r="H159" s="12">
        <f>TRUNC(SUMIF(N154:N158, N153, H154:H158),0)</f>
        <v>318667</v>
      </c>
      <c r="I159" s="11"/>
      <c r="J159" s="12">
        <f>TRUNC(SUMIF(N154:N158, N153, J154:J158),0)</f>
        <v>57423</v>
      </c>
      <c r="K159" s="11"/>
      <c r="L159" s="12">
        <f>F159+H159+J159</f>
        <v>407176</v>
      </c>
      <c r="M159" s="8" t="s">
        <v>52</v>
      </c>
      <c r="N159" s="2" t="s">
        <v>209</v>
      </c>
      <c r="O159" s="2" t="s">
        <v>209</v>
      </c>
      <c r="P159" s="2" t="s">
        <v>52</v>
      </c>
      <c r="Q159" s="2" t="s">
        <v>52</v>
      </c>
      <c r="R159" s="2" t="s">
        <v>52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52</v>
      </c>
      <c r="AX159" s="2" t="s">
        <v>52</v>
      </c>
      <c r="AY159" s="2" t="s">
        <v>52</v>
      </c>
    </row>
    <row r="160" spans="1:51" ht="30" customHeight="1">
      <c r="A160" s="9"/>
      <c r="B160" s="9"/>
      <c r="C160" s="9"/>
      <c r="D160" s="9"/>
      <c r="E160" s="11"/>
      <c r="F160" s="12"/>
      <c r="G160" s="11"/>
      <c r="H160" s="12"/>
      <c r="I160" s="11"/>
      <c r="J160" s="12"/>
      <c r="K160" s="11"/>
      <c r="L160" s="12"/>
      <c r="M160" s="9"/>
    </row>
    <row r="161" spans="1:51" ht="30" customHeight="1">
      <c r="A161" s="288" t="s">
        <v>458</v>
      </c>
      <c r="B161" s="288"/>
      <c r="C161" s="288"/>
      <c r="D161" s="288"/>
      <c r="E161" s="289"/>
      <c r="F161" s="290"/>
      <c r="G161" s="289"/>
      <c r="H161" s="290"/>
      <c r="I161" s="289"/>
      <c r="J161" s="290"/>
      <c r="K161" s="289"/>
      <c r="L161" s="290"/>
      <c r="M161" s="288"/>
      <c r="N161" s="1" t="s">
        <v>252</v>
      </c>
    </row>
    <row r="162" spans="1:51" ht="30" customHeight="1">
      <c r="A162" s="8" t="s">
        <v>381</v>
      </c>
      <c r="B162" s="8" t="s">
        <v>382</v>
      </c>
      <c r="C162" s="8" t="s">
        <v>188</v>
      </c>
      <c r="D162" s="9">
        <v>0.49</v>
      </c>
      <c r="E162" s="11">
        <f>단가대비표!O40</f>
        <v>0</v>
      </c>
      <c r="F162" s="12">
        <f>TRUNC(E162*D162,1)</f>
        <v>0</v>
      </c>
      <c r="G162" s="11">
        <f>단가대비표!P40</f>
        <v>333973</v>
      </c>
      <c r="H162" s="12">
        <f>TRUNC(G162*D162,1)</f>
        <v>163646.70000000001</v>
      </c>
      <c r="I162" s="11">
        <f>단가대비표!V40</f>
        <v>0</v>
      </c>
      <c r="J162" s="12">
        <f>TRUNC(I162*D162,1)</f>
        <v>0</v>
      </c>
      <c r="K162" s="11">
        <f t="shared" ref="K162:L166" si="32">TRUNC(E162+G162+I162,1)</f>
        <v>333973</v>
      </c>
      <c r="L162" s="12">
        <f t="shared" si="32"/>
        <v>163646.70000000001</v>
      </c>
      <c r="M162" s="8" t="s">
        <v>52</v>
      </c>
      <c r="N162" s="2" t="s">
        <v>252</v>
      </c>
      <c r="O162" s="2" t="s">
        <v>383</v>
      </c>
      <c r="P162" s="2" t="s">
        <v>54</v>
      </c>
      <c r="Q162" s="2" t="s">
        <v>54</v>
      </c>
      <c r="R162" s="2" t="s">
        <v>60</v>
      </c>
      <c r="S162" s="3"/>
      <c r="T162" s="3"/>
      <c r="U162" s="3"/>
      <c r="V162" s="3">
        <v>1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52</v>
      </c>
      <c r="AW162" s="2" t="s">
        <v>460</v>
      </c>
      <c r="AX162" s="2" t="s">
        <v>52</v>
      </c>
      <c r="AY162" s="2" t="s">
        <v>52</v>
      </c>
    </row>
    <row r="163" spans="1:51" ht="30" customHeight="1">
      <c r="A163" s="8" t="s">
        <v>385</v>
      </c>
      <c r="B163" s="8" t="s">
        <v>382</v>
      </c>
      <c r="C163" s="8" t="s">
        <v>188</v>
      </c>
      <c r="D163" s="9">
        <v>0.2</v>
      </c>
      <c r="E163" s="11">
        <f>단가대비표!O42</f>
        <v>0</v>
      </c>
      <c r="F163" s="12">
        <f>TRUNC(E163*D163,1)</f>
        <v>0</v>
      </c>
      <c r="G163" s="11">
        <f>단가대비표!P42</f>
        <v>246892</v>
      </c>
      <c r="H163" s="12">
        <f>TRUNC(G163*D163,1)</f>
        <v>49378.400000000001</v>
      </c>
      <c r="I163" s="11">
        <f>단가대비표!V42</f>
        <v>0</v>
      </c>
      <c r="J163" s="12">
        <f>TRUNC(I163*D163,1)</f>
        <v>0</v>
      </c>
      <c r="K163" s="11">
        <f t="shared" si="32"/>
        <v>246892</v>
      </c>
      <c r="L163" s="12">
        <f t="shared" si="32"/>
        <v>49378.400000000001</v>
      </c>
      <c r="M163" s="8" t="s">
        <v>386</v>
      </c>
      <c r="N163" s="2" t="s">
        <v>252</v>
      </c>
      <c r="O163" s="2" t="s">
        <v>387</v>
      </c>
      <c r="P163" s="2" t="s">
        <v>54</v>
      </c>
      <c r="Q163" s="2" t="s">
        <v>54</v>
      </c>
      <c r="R163" s="2" t="s">
        <v>60</v>
      </c>
      <c r="S163" s="3"/>
      <c r="T163" s="3"/>
      <c r="U163" s="3"/>
      <c r="V163" s="3">
        <v>1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52</v>
      </c>
      <c r="AW163" s="2" t="s">
        <v>461</v>
      </c>
      <c r="AX163" s="2" t="s">
        <v>52</v>
      </c>
      <c r="AY163" s="2" t="s">
        <v>52</v>
      </c>
    </row>
    <row r="164" spans="1:51" ht="30" customHeight="1">
      <c r="A164" s="8" t="s">
        <v>186</v>
      </c>
      <c r="B164" s="8" t="s">
        <v>187</v>
      </c>
      <c r="C164" s="8" t="s">
        <v>188</v>
      </c>
      <c r="D164" s="9">
        <v>0.1</v>
      </c>
      <c r="E164" s="11">
        <f>단가대비표!O34</f>
        <v>0</v>
      </c>
      <c r="F164" s="12">
        <f>TRUNC(E164*D164,1)</f>
        <v>0</v>
      </c>
      <c r="G164" s="11">
        <f>단가대비표!P34</f>
        <v>138989</v>
      </c>
      <c r="H164" s="12">
        <f>TRUNC(G164*D164,1)</f>
        <v>13898.9</v>
      </c>
      <c r="I164" s="11">
        <f>단가대비표!V34</f>
        <v>0</v>
      </c>
      <c r="J164" s="12">
        <f>TRUNC(I164*D164,1)</f>
        <v>0</v>
      </c>
      <c r="K164" s="11">
        <f t="shared" si="32"/>
        <v>138989</v>
      </c>
      <c r="L164" s="12">
        <f t="shared" si="32"/>
        <v>13898.9</v>
      </c>
      <c r="M164" s="8" t="s">
        <v>52</v>
      </c>
      <c r="N164" s="2" t="s">
        <v>252</v>
      </c>
      <c r="O164" s="2" t="s">
        <v>189</v>
      </c>
      <c r="P164" s="2" t="s">
        <v>54</v>
      </c>
      <c r="Q164" s="2" t="s">
        <v>54</v>
      </c>
      <c r="R164" s="2" t="s">
        <v>60</v>
      </c>
      <c r="S164" s="3"/>
      <c r="T164" s="3"/>
      <c r="U164" s="3"/>
      <c r="V164" s="3">
        <v>1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462</v>
      </c>
      <c r="AX164" s="2" t="s">
        <v>52</v>
      </c>
      <c r="AY164" s="2" t="s">
        <v>52</v>
      </c>
    </row>
    <row r="165" spans="1:51" ht="30" customHeight="1">
      <c r="A165" s="8" t="s">
        <v>304</v>
      </c>
      <c r="B165" s="8" t="s">
        <v>390</v>
      </c>
      <c r="C165" s="8" t="s">
        <v>306</v>
      </c>
      <c r="D165" s="9">
        <v>2.16</v>
      </c>
      <c r="E165" s="11">
        <f>일위대가목록!E21</f>
        <v>14392</v>
      </c>
      <c r="F165" s="12">
        <f>TRUNC(E165*D165,1)</f>
        <v>31086.7</v>
      </c>
      <c r="G165" s="11">
        <f>일위대가목록!F21</f>
        <v>42474</v>
      </c>
      <c r="H165" s="12">
        <f>TRUNC(G165*D165,1)</f>
        <v>91743.8</v>
      </c>
      <c r="I165" s="11">
        <f>일위대가목록!G21</f>
        <v>21332</v>
      </c>
      <c r="J165" s="12">
        <f>TRUNC(I165*D165,1)</f>
        <v>46077.1</v>
      </c>
      <c r="K165" s="11">
        <f t="shared" si="32"/>
        <v>78198</v>
      </c>
      <c r="L165" s="12">
        <f t="shared" si="32"/>
        <v>168907.6</v>
      </c>
      <c r="M165" s="8" t="s">
        <v>52</v>
      </c>
      <c r="N165" s="2" t="s">
        <v>252</v>
      </c>
      <c r="O165" s="2" t="s">
        <v>391</v>
      </c>
      <c r="P165" s="2" t="s">
        <v>60</v>
      </c>
      <c r="Q165" s="2" t="s">
        <v>54</v>
      </c>
      <c r="R165" s="2" t="s">
        <v>54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463</v>
      </c>
      <c r="AX165" s="2" t="s">
        <v>52</v>
      </c>
      <c r="AY165" s="2" t="s">
        <v>52</v>
      </c>
    </row>
    <row r="166" spans="1:51" ht="30" customHeight="1">
      <c r="A166" s="8" t="s">
        <v>375</v>
      </c>
      <c r="B166" s="8" t="s">
        <v>393</v>
      </c>
      <c r="C166" s="8" t="s">
        <v>94</v>
      </c>
      <c r="D166" s="9">
        <v>1</v>
      </c>
      <c r="E166" s="11">
        <v>0</v>
      </c>
      <c r="F166" s="12">
        <f>TRUNC(E166*D166,1)</f>
        <v>0</v>
      </c>
      <c r="G166" s="11">
        <v>0</v>
      </c>
      <c r="H166" s="12">
        <f>TRUNC(G166*D166,1)</f>
        <v>0</v>
      </c>
      <c r="I166" s="11">
        <f>TRUNC(SUMIF(V162:V166, RIGHTB(O166, 1), H162:H166)*U166, 2)</f>
        <v>11346.2</v>
      </c>
      <c r="J166" s="12">
        <f>TRUNC(I166*D166,1)</f>
        <v>11346.2</v>
      </c>
      <c r="K166" s="11">
        <f t="shared" si="32"/>
        <v>11346.2</v>
      </c>
      <c r="L166" s="12">
        <f t="shared" si="32"/>
        <v>11346.2</v>
      </c>
      <c r="M166" s="8" t="s">
        <v>52</v>
      </c>
      <c r="N166" s="2" t="s">
        <v>252</v>
      </c>
      <c r="O166" s="2" t="s">
        <v>95</v>
      </c>
      <c r="P166" s="2" t="s">
        <v>54</v>
      </c>
      <c r="Q166" s="2" t="s">
        <v>54</v>
      </c>
      <c r="R166" s="2" t="s">
        <v>54</v>
      </c>
      <c r="S166" s="3">
        <v>1</v>
      </c>
      <c r="T166" s="3">
        <v>2</v>
      </c>
      <c r="U166" s="3">
        <v>0.05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464</v>
      </c>
      <c r="AX166" s="2" t="s">
        <v>52</v>
      </c>
      <c r="AY166" s="2" t="s">
        <v>52</v>
      </c>
    </row>
    <row r="167" spans="1:51" ht="30" customHeight="1">
      <c r="A167" s="8" t="s">
        <v>208</v>
      </c>
      <c r="B167" s="8" t="s">
        <v>52</v>
      </c>
      <c r="C167" s="8" t="s">
        <v>52</v>
      </c>
      <c r="D167" s="9"/>
      <c r="E167" s="11"/>
      <c r="F167" s="12">
        <f>TRUNC(SUMIF(N162:N166, N161, F162:F166),0)</f>
        <v>31086</v>
      </c>
      <c r="G167" s="11"/>
      <c r="H167" s="12">
        <f>TRUNC(SUMIF(N162:N166, N161, H162:H166),0)</f>
        <v>318667</v>
      </c>
      <c r="I167" s="11"/>
      <c r="J167" s="12">
        <f>TRUNC(SUMIF(N162:N166, N161, J162:J166),0)</f>
        <v>57423</v>
      </c>
      <c r="K167" s="11"/>
      <c r="L167" s="12">
        <f>F167+H167+J167</f>
        <v>407176</v>
      </c>
      <c r="M167" s="8" t="s">
        <v>52</v>
      </c>
      <c r="N167" s="2" t="s">
        <v>209</v>
      </c>
      <c r="O167" s="2" t="s">
        <v>209</v>
      </c>
      <c r="P167" s="2" t="s">
        <v>52</v>
      </c>
      <c r="Q167" s="2" t="s">
        <v>52</v>
      </c>
      <c r="R167" s="2" t="s">
        <v>52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52</v>
      </c>
      <c r="AW167" s="2" t="s">
        <v>52</v>
      </c>
      <c r="AX167" s="2" t="s">
        <v>52</v>
      </c>
      <c r="AY167" s="2" t="s">
        <v>52</v>
      </c>
    </row>
    <row r="168" spans="1:51" ht="30" customHeight="1">
      <c r="A168" s="9"/>
      <c r="B168" s="9"/>
      <c r="C168" s="9"/>
      <c r="D168" s="9"/>
      <c r="E168" s="11"/>
      <c r="F168" s="12"/>
      <c r="G168" s="11"/>
      <c r="H168" s="12"/>
      <c r="I168" s="11"/>
      <c r="J168" s="12"/>
      <c r="K168" s="11"/>
      <c r="L168" s="12"/>
      <c r="M168" s="9"/>
    </row>
    <row r="169" spans="1:51" ht="30" customHeight="1">
      <c r="A169" s="288" t="s">
        <v>465</v>
      </c>
      <c r="B169" s="288"/>
      <c r="C169" s="288"/>
      <c r="D169" s="288"/>
      <c r="E169" s="289"/>
      <c r="F169" s="290"/>
      <c r="G169" s="289"/>
      <c r="H169" s="290"/>
      <c r="I169" s="289"/>
      <c r="J169" s="290"/>
      <c r="K169" s="289"/>
      <c r="L169" s="290"/>
      <c r="M169" s="288"/>
      <c r="N169" s="1" t="s">
        <v>266</v>
      </c>
    </row>
    <row r="170" spans="1:51" ht="30" customHeight="1">
      <c r="A170" s="8" t="s">
        <v>360</v>
      </c>
      <c r="B170" s="8" t="s">
        <v>52</v>
      </c>
      <c r="C170" s="8" t="s">
        <v>202</v>
      </c>
      <c r="D170" s="9">
        <v>40</v>
      </c>
      <c r="E170" s="11">
        <f>단가대비표!O28</f>
        <v>0</v>
      </c>
      <c r="F170" s="12">
        <f t="shared" ref="F170:F175" si="33">TRUNC(E170*D170,1)</f>
        <v>0</v>
      </c>
      <c r="G170" s="11">
        <f>단가대비표!P28</f>
        <v>0</v>
      </c>
      <c r="H170" s="12">
        <f t="shared" ref="H170:H175" si="34">TRUNC(G170*D170,1)</f>
        <v>0</v>
      </c>
      <c r="I170" s="11">
        <f>단가대비표!V28</f>
        <v>0</v>
      </c>
      <c r="J170" s="12">
        <f t="shared" ref="J170:J175" si="35">TRUNC(I170*D170,1)</f>
        <v>0</v>
      </c>
      <c r="K170" s="11">
        <f t="shared" ref="K170:L175" si="36">TRUNC(E170+G170+I170,1)</f>
        <v>0</v>
      </c>
      <c r="L170" s="12">
        <f t="shared" si="36"/>
        <v>0</v>
      </c>
      <c r="M170" s="8" t="s">
        <v>52</v>
      </c>
      <c r="N170" s="2" t="s">
        <v>266</v>
      </c>
      <c r="O170" s="2" t="s">
        <v>468</v>
      </c>
      <c r="P170" s="2" t="s">
        <v>54</v>
      </c>
      <c r="Q170" s="2" t="s">
        <v>54</v>
      </c>
      <c r="R170" s="2" t="s">
        <v>60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469</v>
      </c>
      <c r="AX170" s="2" t="s">
        <v>52</v>
      </c>
      <c r="AY170" s="2" t="s">
        <v>52</v>
      </c>
    </row>
    <row r="171" spans="1:51" ht="30" customHeight="1">
      <c r="A171" s="8" t="s">
        <v>356</v>
      </c>
      <c r="B171" s="8" t="s">
        <v>357</v>
      </c>
      <c r="C171" s="8" t="s">
        <v>74</v>
      </c>
      <c r="D171" s="9">
        <v>0.2</v>
      </c>
      <c r="E171" s="11">
        <f>단가대비표!O29</f>
        <v>12000</v>
      </c>
      <c r="F171" s="12">
        <f t="shared" si="33"/>
        <v>2400</v>
      </c>
      <c r="G171" s="11">
        <f>단가대비표!P29</f>
        <v>0</v>
      </c>
      <c r="H171" s="12">
        <f t="shared" si="34"/>
        <v>0</v>
      </c>
      <c r="I171" s="11">
        <f>단가대비표!V29</f>
        <v>0</v>
      </c>
      <c r="J171" s="12">
        <f t="shared" si="35"/>
        <v>0</v>
      </c>
      <c r="K171" s="11">
        <f t="shared" si="36"/>
        <v>12000</v>
      </c>
      <c r="L171" s="12">
        <f t="shared" si="36"/>
        <v>2400</v>
      </c>
      <c r="M171" s="8" t="s">
        <v>52</v>
      </c>
      <c r="N171" s="2" t="s">
        <v>266</v>
      </c>
      <c r="O171" s="2" t="s">
        <v>358</v>
      </c>
      <c r="P171" s="2" t="s">
        <v>54</v>
      </c>
      <c r="Q171" s="2" t="s">
        <v>54</v>
      </c>
      <c r="R171" s="2" t="s">
        <v>60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470</v>
      </c>
      <c r="AX171" s="2" t="s">
        <v>52</v>
      </c>
      <c r="AY171" s="2" t="s">
        <v>52</v>
      </c>
    </row>
    <row r="172" spans="1:51" ht="30" customHeight="1">
      <c r="A172" s="8" t="s">
        <v>120</v>
      </c>
      <c r="B172" s="8" t="s">
        <v>365</v>
      </c>
      <c r="C172" s="8" t="s">
        <v>74</v>
      </c>
      <c r="D172" s="9">
        <v>0.25</v>
      </c>
      <c r="E172" s="11">
        <f>단가대비표!O12</f>
        <v>0</v>
      </c>
      <c r="F172" s="12">
        <f t="shared" si="33"/>
        <v>0</v>
      </c>
      <c r="G172" s="11">
        <f>단가대비표!P12</f>
        <v>0</v>
      </c>
      <c r="H172" s="12">
        <f t="shared" si="34"/>
        <v>0</v>
      </c>
      <c r="I172" s="11">
        <f>단가대비표!V12</f>
        <v>0</v>
      </c>
      <c r="J172" s="12">
        <f t="shared" si="35"/>
        <v>0</v>
      </c>
      <c r="K172" s="11">
        <f t="shared" si="36"/>
        <v>0</v>
      </c>
      <c r="L172" s="12">
        <f t="shared" si="36"/>
        <v>0</v>
      </c>
      <c r="M172" s="8" t="s">
        <v>366</v>
      </c>
      <c r="N172" s="2" t="s">
        <v>266</v>
      </c>
      <c r="O172" s="2" t="s">
        <v>471</v>
      </c>
      <c r="P172" s="2" t="s">
        <v>54</v>
      </c>
      <c r="Q172" s="2" t="s">
        <v>54</v>
      </c>
      <c r="R172" s="2" t="s">
        <v>60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 t="s">
        <v>52</v>
      </c>
      <c r="AW172" s="2" t="s">
        <v>472</v>
      </c>
      <c r="AX172" s="2" t="s">
        <v>52</v>
      </c>
      <c r="AY172" s="2" t="s">
        <v>52</v>
      </c>
    </row>
    <row r="173" spans="1:51" ht="30" customHeight="1">
      <c r="A173" s="8" t="s">
        <v>369</v>
      </c>
      <c r="B173" s="8" t="s">
        <v>370</v>
      </c>
      <c r="C173" s="8" t="s">
        <v>74</v>
      </c>
      <c r="D173" s="9">
        <v>1</v>
      </c>
      <c r="E173" s="11">
        <f>단가대비표!O15</f>
        <v>20000</v>
      </c>
      <c r="F173" s="12">
        <f t="shared" si="33"/>
        <v>20000</v>
      </c>
      <c r="G173" s="11">
        <f>단가대비표!P15</f>
        <v>0</v>
      </c>
      <c r="H173" s="12">
        <f t="shared" si="34"/>
        <v>0</v>
      </c>
      <c r="I173" s="11">
        <f>단가대비표!V15</f>
        <v>0</v>
      </c>
      <c r="J173" s="12">
        <f t="shared" si="35"/>
        <v>0</v>
      </c>
      <c r="K173" s="11">
        <f t="shared" si="36"/>
        <v>20000</v>
      </c>
      <c r="L173" s="12">
        <f t="shared" si="36"/>
        <v>20000</v>
      </c>
      <c r="M173" s="8" t="s">
        <v>366</v>
      </c>
      <c r="N173" s="2" t="s">
        <v>266</v>
      </c>
      <c r="O173" s="2" t="s">
        <v>371</v>
      </c>
      <c r="P173" s="2" t="s">
        <v>54</v>
      </c>
      <c r="Q173" s="2" t="s">
        <v>54</v>
      </c>
      <c r="R173" s="2" t="s">
        <v>60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52</v>
      </c>
      <c r="AW173" s="2" t="s">
        <v>473</v>
      </c>
      <c r="AX173" s="2" t="s">
        <v>52</v>
      </c>
      <c r="AY173" s="2" t="s">
        <v>52</v>
      </c>
    </row>
    <row r="174" spans="1:51" ht="30" customHeight="1">
      <c r="A174" s="8" t="s">
        <v>186</v>
      </c>
      <c r="B174" s="8" t="s">
        <v>187</v>
      </c>
      <c r="C174" s="8" t="s">
        <v>188</v>
      </c>
      <c r="D174" s="9">
        <v>1.3</v>
      </c>
      <c r="E174" s="11">
        <f>단가대비표!O34</f>
        <v>0</v>
      </c>
      <c r="F174" s="12">
        <f t="shared" si="33"/>
        <v>0</v>
      </c>
      <c r="G174" s="11">
        <f>단가대비표!P34</f>
        <v>138989</v>
      </c>
      <c r="H174" s="12">
        <f t="shared" si="34"/>
        <v>180685.7</v>
      </c>
      <c r="I174" s="11">
        <f>단가대비표!V34</f>
        <v>0</v>
      </c>
      <c r="J174" s="12">
        <f t="shared" si="35"/>
        <v>0</v>
      </c>
      <c r="K174" s="11">
        <f t="shared" si="36"/>
        <v>138989</v>
      </c>
      <c r="L174" s="12">
        <f t="shared" si="36"/>
        <v>180685.7</v>
      </c>
      <c r="M174" s="8" t="s">
        <v>52</v>
      </c>
      <c r="N174" s="2" t="s">
        <v>266</v>
      </c>
      <c r="O174" s="2" t="s">
        <v>189</v>
      </c>
      <c r="P174" s="2" t="s">
        <v>54</v>
      </c>
      <c r="Q174" s="2" t="s">
        <v>54</v>
      </c>
      <c r="R174" s="2" t="s">
        <v>60</v>
      </c>
      <c r="S174" s="3"/>
      <c r="T174" s="3"/>
      <c r="U174" s="3"/>
      <c r="V174" s="3">
        <v>1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474</v>
      </c>
      <c r="AX174" s="2" t="s">
        <v>52</v>
      </c>
      <c r="AY174" s="2" t="s">
        <v>52</v>
      </c>
    </row>
    <row r="175" spans="1:51" ht="30" customHeight="1">
      <c r="A175" s="8" t="s">
        <v>375</v>
      </c>
      <c r="B175" s="8" t="s">
        <v>376</v>
      </c>
      <c r="C175" s="8" t="s">
        <v>94</v>
      </c>
      <c r="D175" s="9">
        <v>1</v>
      </c>
      <c r="E175" s="11">
        <v>0</v>
      </c>
      <c r="F175" s="12">
        <f t="shared" si="33"/>
        <v>0</v>
      </c>
      <c r="G175" s="11">
        <v>0</v>
      </c>
      <c r="H175" s="12">
        <f t="shared" si="34"/>
        <v>0</v>
      </c>
      <c r="I175" s="11">
        <f>TRUNC(SUMIF(V170:V175, RIGHTB(O175, 1), H170:H175)*U175, 2)</f>
        <v>3613.71</v>
      </c>
      <c r="J175" s="12">
        <f t="shared" si="35"/>
        <v>3613.7</v>
      </c>
      <c r="K175" s="11">
        <f t="shared" si="36"/>
        <v>3613.7</v>
      </c>
      <c r="L175" s="12">
        <f t="shared" si="36"/>
        <v>3613.7</v>
      </c>
      <c r="M175" s="8" t="s">
        <v>52</v>
      </c>
      <c r="N175" s="2" t="s">
        <v>266</v>
      </c>
      <c r="O175" s="2" t="s">
        <v>95</v>
      </c>
      <c r="P175" s="2" t="s">
        <v>54</v>
      </c>
      <c r="Q175" s="2" t="s">
        <v>54</v>
      </c>
      <c r="R175" s="2" t="s">
        <v>54</v>
      </c>
      <c r="S175" s="3">
        <v>1</v>
      </c>
      <c r="T175" s="3">
        <v>2</v>
      </c>
      <c r="U175" s="3">
        <v>0.02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475</v>
      </c>
      <c r="AX175" s="2" t="s">
        <v>52</v>
      </c>
      <c r="AY175" s="2" t="s">
        <v>52</v>
      </c>
    </row>
    <row r="176" spans="1:51" ht="30" customHeight="1">
      <c r="A176" s="8" t="s">
        <v>208</v>
      </c>
      <c r="B176" s="8" t="s">
        <v>52</v>
      </c>
      <c r="C176" s="8" t="s">
        <v>52</v>
      </c>
      <c r="D176" s="9"/>
      <c r="E176" s="11"/>
      <c r="F176" s="12">
        <f>TRUNC(SUMIF(N170:N175, N169, F170:F175),0)</f>
        <v>22400</v>
      </c>
      <c r="G176" s="11"/>
      <c r="H176" s="12">
        <f>TRUNC(SUMIF(N170:N175, N169, H170:H175),0)</f>
        <v>180685</v>
      </c>
      <c r="I176" s="11"/>
      <c r="J176" s="12">
        <f>TRUNC(SUMIF(N170:N175, N169, J170:J175),0)</f>
        <v>3613</v>
      </c>
      <c r="K176" s="11"/>
      <c r="L176" s="12">
        <f>F176+H176+J176</f>
        <v>206698</v>
      </c>
      <c r="M176" s="8" t="s">
        <v>52</v>
      </c>
      <c r="N176" s="2" t="s">
        <v>209</v>
      </c>
      <c r="O176" s="2" t="s">
        <v>209</v>
      </c>
      <c r="P176" s="2" t="s">
        <v>52</v>
      </c>
      <c r="Q176" s="2" t="s">
        <v>52</v>
      </c>
      <c r="R176" s="2" t="s">
        <v>52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52</v>
      </c>
      <c r="AX176" s="2" t="s">
        <v>52</v>
      </c>
      <c r="AY176" s="2" t="s">
        <v>52</v>
      </c>
    </row>
    <row r="177" spans="1:51" ht="30" customHeight="1">
      <c r="A177" s="9"/>
      <c r="B177" s="9"/>
      <c r="C177" s="9"/>
      <c r="D177" s="9"/>
      <c r="E177" s="11"/>
      <c r="F177" s="12"/>
      <c r="G177" s="11"/>
      <c r="H177" s="12"/>
      <c r="I177" s="11"/>
      <c r="J177" s="12"/>
      <c r="K177" s="11"/>
      <c r="L177" s="12"/>
      <c r="M177" s="9"/>
    </row>
    <row r="178" spans="1:51" ht="30" customHeight="1">
      <c r="A178" s="288" t="s">
        <v>476</v>
      </c>
      <c r="B178" s="288"/>
      <c r="C178" s="288"/>
      <c r="D178" s="288"/>
      <c r="E178" s="289"/>
      <c r="F178" s="290"/>
      <c r="G178" s="289"/>
      <c r="H178" s="290"/>
      <c r="I178" s="289"/>
      <c r="J178" s="290"/>
      <c r="K178" s="289"/>
      <c r="L178" s="290"/>
      <c r="M178" s="288"/>
      <c r="N178" s="1" t="s">
        <v>272</v>
      </c>
    </row>
    <row r="179" spans="1:51" ht="30" customHeight="1">
      <c r="A179" s="8" t="s">
        <v>479</v>
      </c>
      <c r="B179" s="8" t="s">
        <v>480</v>
      </c>
      <c r="C179" s="8" t="s">
        <v>105</v>
      </c>
      <c r="D179" s="9">
        <v>1</v>
      </c>
      <c r="E179" s="11">
        <f>일위대가목록!E28</f>
        <v>7872</v>
      </c>
      <c r="F179" s="12">
        <f>TRUNC(E179*D179,1)</f>
        <v>7872</v>
      </c>
      <c r="G179" s="11">
        <f>일위대가목록!F28</f>
        <v>0</v>
      </c>
      <c r="H179" s="12">
        <f>TRUNC(G179*D179,1)</f>
        <v>0</v>
      </c>
      <c r="I179" s="11">
        <f>일위대가목록!G28</f>
        <v>0</v>
      </c>
      <c r="J179" s="12">
        <f>TRUNC(I179*D179,1)</f>
        <v>0</v>
      </c>
      <c r="K179" s="11">
        <f>TRUNC(E179+G179+I179,1)</f>
        <v>7872</v>
      </c>
      <c r="L179" s="12">
        <f>TRUNC(F179+H179+J179,1)</f>
        <v>7872</v>
      </c>
      <c r="M179" s="8" t="s">
        <v>52</v>
      </c>
      <c r="N179" s="2" t="s">
        <v>272</v>
      </c>
      <c r="O179" s="2" t="s">
        <v>481</v>
      </c>
      <c r="P179" s="2" t="s">
        <v>60</v>
      </c>
      <c r="Q179" s="2" t="s">
        <v>54</v>
      </c>
      <c r="R179" s="2" t="s">
        <v>54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482</v>
      </c>
      <c r="AX179" s="2" t="s">
        <v>52</v>
      </c>
      <c r="AY179" s="2" t="s">
        <v>52</v>
      </c>
    </row>
    <row r="180" spans="1:51" ht="30" customHeight="1">
      <c r="A180" s="8" t="s">
        <v>483</v>
      </c>
      <c r="B180" s="8" t="s">
        <v>484</v>
      </c>
      <c r="C180" s="8" t="s">
        <v>105</v>
      </c>
      <c r="D180" s="9">
        <v>1</v>
      </c>
      <c r="E180" s="11">
        <f>일위대가목록!E29</f>
        <v>0</v>
      </c>
      <c r="F180" s="12">
        <f>TRUNC(E180*D180,1)</f>
        <v>0</v>
      </c>
      <c r="G180" s="11">
        <f>일위대가목록!F29</f>
        <v>24860</v>
      </c>
      <c r="H180" s="12">
        <f>TRUNC(G180*D180,1)</f>
        <v>24860</v>
      </c>
      <c r="I180" s="11">
        <f>일위대가목록!G29</f>
        <v>248</v>
      </c>
      <c r="J180" s="12">
        <f>TRUNC(I180*D180,1)</f>
        <v>248</v>
      </c>
      <c r="K180" s="11">
        <f>TRUNC(E180+G180+I180,1)</f>
        <v>25108</v>
      </c>
      <c r="L180" s="12">
        <f>TRUNC(F180+H180+J180,1)</f>
        <v>25108</v>
      </c>
      <c r="M180" s="8" t="s">
        <v>52</v>
      </c>
      <c r="N180" s="2" t="s">
        <v>272</v>
      </c>
      <c r="O180" s="2" t="s">
        <v>485</v>
      </c>
      <c r="P180" s="2" t="s">
        <v>60</v>
      </c>
      <c r="Q180" s="2" t="s">
        <v>54</v>
      </c>
      <c r="R180" s="2" t="s">
        <v>54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486</v>
      </c>
      <c r="AX180" s="2" t="s">
        <v>52</v>
      </c>
      <c r="AY180" s="2" t="s">
        <v>52</v>
      </c>
    </row>
    <row r="181" spans="1:51" ht="30" customHeight="1">
      <c r="A181" s="8" t="s">
        <v>208</v>
      </c>
      <c r="B181" s="8" t="s">
        <v>52</v>
      </c>
      <c r="C181" s="8" t="s">
        <v>52</v>
      </c>
      <c r="D181" s="9"/>
      <c r="E181" s="11"/>
      <c r="F181" s="12">
        <f>TRUNC(SUMIF(N179:N180, N178, F179:F180),0)</f>
        <v>7872</v>
      </c>
      <c r="G181" s="11"/>
      <c r="H181" s="12">
        <f>TRUNC(SUMIF(N179:N180, N178, H179:H180),0)</f>
        <v>24860</v>
      </c>
      <c r="I181" s="11"/>
      <c r="J181" s="12">
        <f>TRUNC(SUMIF(N179:N180, N178, J179:J180),0)</f>
        <v>248</v>
      </c>
      <c r="K181" s="11"/>
      <c r="L181" s="12">
        <f>F181+H181+J181</f>
        <v>32980</v>
      </c>
      <c r="M181" s="8" t="s">
        <v>52</v>
      </c>
      <c r="N181" s="2" t="s">
        <v>209</v>
      </c>
      <c r="O181" s="2" t="s">
        <v>209</v>
      </c>
      <c r="P181" s="2" t="s">
        <v>52</v>
      </c>
      <c r="Q181" s="2" t="s">
        <v>52</v>
      </c>
      <c r="R181" s="2" t="s">
        <v>52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52</v>
      </c>
      <c r="AW181" s="2" t="s">
        <v>52</v>
      </c>
      <c r="AX181" s="2" t="s">
        <v>52</v>
      </c>
      <c r="AY181" s="2" t="s">
        <v>52</v>
      </c>
    </row>
    <row r="182" spans="1:51" ht="30" customHeight="1">
      <c r="A182" s="9"/>
      <c r="B182" s="9"/>
      <c r="C182" s="9"/>
      <c r="D182" s="9"/>
      <c r="E182" s="11"/>
      <c r="F182" s="12"/>
      <c r="G182" s="11"/>
      <c r="H182" s="12"/>
      <c r="I182" s="11"/>
      <c r="J182" s="12"/>
      <c r="K182" s="11"/>
      <c r="L182" s="12"/>
      <c r="M182" s="9"/>
    </row>
    <row r="183" spans="1:51" ht="30" customHeight="1">
      <c r="A183" s="288" t="s">
        <v>487</v>
      </c>
      <c r="B183" s="288"/>
      <c r="C183" s="288"/>
      <c r="D183" s="288"/>
      <c r="E183" s="289"/>
      <c r="F183" s="290"/>
      <c r="G183" s="289"/>
      <c r="H183" s="290"/>
      <c r="I183" s="289"/>
      <c r="J183" s="290"/>
      <c r="K183" s="289"/>
      <c r="L183" s="290"/>
      <c r="M183" s="288"/>
      <c r="N183" s="1" t="s">
        <v>481</v>
      </c>
    </row>
    <row r="184" spans="1:51" ht="30" customHeight="1">
      <c r="A184" s="8" t="s">
        <v>489</v>
      </c>
      <c r="B184" s="8" t="s">
        <v>490</v>
      </c>
      <c r="C184" s="8" t="s">
        <v>105</v>
      </c>
      <c r="D184" s="9">
        <v>1.03</v>
      </c>
      <c r="E184" s="11">
        <f>단가대비표!O17</f>
        <v>7577</v>
      </c>
      <c r="F184" s="12">
        <f>TRUNC(E184*D184,1)</f>
        <v>7804.3</v>
      </c>
      <c r="G184" s="11">
        <f>단가대비표!P17</f>
        <v>0</v>
      </c>
      <c r="H184" s="12">
        <f>TRUNC(G184*D184,1)</f>
        <v>0</v>
      </c>
      <c r="I184" s="11">
        <f>단가대비표!V17</f>
        <v>0</v>
      </c>
      <c r="J184" s="12">
        <f>TRUNC(I184*D184,1)</f>
        <v>0</v>
      </c>
      <c r="K184" s="11">
        <f t="shared" ref="K184:L187" si="37">TRUNC(E184+G184+I184,1)</f>
        <v>7577</v>
      </c>
      <c r="L184" s="12">
        <f t="shared" si="37"/>
        <v>7804.3</v>
      </c>
      <c r="M184" s="8" t="s">
        <v>491</v>
      </c>
      <c r="N184" s="2" t="s">
        <v>52</v>
      </c>
      <c r="O184" s="2" t="s">
        <v>492</v>
      </c>
      <c r="P184" s="2" t="s">
        <v>54</v>
      </c>
      <c r="Q184" s="2" t="s">
        <v>54</v>
      </c>
      <c r="R184" s="2" t="s">
        <v>60</v>
      </c>
      <c r="S184" s="3"/>
      <c r="T184" s="3"/>
      <c r="U184" s="3"/>
      <c r="V184" s="3">
        <v>1</v>
      </c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493</v>
      </c>
      <c r="AX184" s="2" t="s">
        <v>52</v>
      </c>
      <c r="AY184" s="2" t="s">
        <v>494</v>
      </c>
    </row>
    <row r="185" spans="1:51" ht="30" customHeight="1">
      <c r="A185" s="8" t="s">
        <v>196</v>
      </c>
      <c r="B185" s="8" t="s">
        <v>197</v>
      </c>
      <c r="C185" s="8" t="s">
        <v>74</v>
      </c>
      <c r="D185" s="9">
        <v>3.7999999999999999E-2</v>
      </c>
      <c r="E185" s="11">
        <f>단가대비표!O24</f>
        <v>365375</v>
      </c>
      <c r="F185" s="12">
        <f>TRUNC(E185*D185,1)</f>
        <v>13884.2</v>
      </c>
      <c r="G185" s="11">
        <f>단가대비표!P24</f>
        <v>0</v>
      </c>
      <c r="H185" s="12">
        <f>TRUNC(G185*D185,1)</f>
        <v>0</v>
      </c>
      <c r="I185" s="11">
        <f>단가대비표!V24</f>
        <v>0</v>
      </c>
      <c r="J185" s="12">
        <f>TRUNC(I185*D185,1)</f>
        <v>0</v>
      </c>
      <c r="K185" s="11">
        <f t="shared" si="37"/>
        <v>365375</v>
      </c>
      <c r="L185" s="12">
        <f t="shared" si="37"/>
        <v>13884.2</v>
      </c>
      <c r="M185" s="8" t="s">
        <v>491</v>
      </c>
      <c r="N185" s="2" t="s">
        <v>52</v>
      </c>
      <c r="O185" s="2" t="s">
        <v>198</v>
      </c>
      <c r="P185" s="2" t="s">
        <v>54</v>
      </c>
      <c r="Q185" s="2" t="s">
        <v>54</v>
      </c>
      <c r="R185" s="2" t="s">
        <v>60</v>
      </c>
      <c r="S185" s="3"/>
      <c r="T185" s="3"/>
      <c r="U185" s="3"/>
      <c r="V185" s="3">
        <v>1</v>
      </c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 t="s">
        <v>52</v>
      </c>
      <c r="AW185" s="2" t="s">
        <v>495</v>
      </c>
      <c r="AX185" s="2" t="s">
        <v>52</v>
      </c>
      <c r="AY185" s="2" t="s">
        <v>494</v>
      </c>
    </row>
    <row r="186" spans="1:51" ht="30" customHeight="1">
      <c r="A186" s="8" t="s">
        <v>496</v>
      </c>
      <c r="B186" s="8" t="s">
        <v>497</v>
      </c>
      <c r="C186" s="8" t="s">
        <v>94</v>
      </c>
      <c r="D186" s="9">
        <v>1</v>
      </c>
      <c r="E186" s="11">
        <f>TRUNC(SUMIF(V184:V187, RIGHTB(O186, 1), F184:F187)*U186, 2)</f>
        <v>7092.13</v>
      </c>
      <c r="F186" s="12">
        <f>TRUNC(E186*D186,1)</f>
        <v>7092.1</v>
      </c>
      <c r="G186" s="11">
        <v>0</v>
      </c>
      <c r="H186" s="12">
        <f>TRUNC(G186*D186,1)</f>
        <v>0</v>
      </c>
      <c r="I186" s="11">
        <v>0</v>
      </c>
      <c r="J186" s="12">
        <f>TRUNC(I186*D186,1)</f>
        <v>0</v>
      </c>
      <c r="K186" s="11">
        <f t="shared" si="37"/>
        <v>7092.1</v>
      </c>
      <c r="L186" s="12">
        <f t="shared" si="37"/>
        <v>7092.1</v>
      </c>
      <c r="M186" s="8" t="s">
        <v>52</v>
      </c>
      <c r="N186" s="2" t="s">
        <v>481</v>
      </c>
      <c r="O186" s="2" t="s">
        <v>95</v>
      </c>
      <c r="P186" s="2" t="s">
        <v>54</v>
      </c>
      <c r="Q186" s="2" t="s">
        <v>54</v>
      </c>
      <c r="R186" s="2" t="s">
        <v>54</v>
      </c>
      <c r="S186" s="3">
        <v>0</v>
      </c>
      <c r="T186" s="3">
        <v>0</v>
      </c>
      <c r="U186" s="3">
        <v>0.32700000000000001</v>
      </c>
      <c r="V186" s="3"/>
      <c r="W186" s="3">
        <v>2</v>
      </c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 t="s">
        <v>52</v>
      </c>
      <c r="AW186" s="2" t="s">
        <v>498</v>
      </c>
      <c r="AX186" s="2" t="s">
        <v>52</v>
      </c>
      <c r="AY186" s="2" t="s">
        <v>52</v>
      </c>
    </row>
    <row r="187" spans="1:51" ht="30" customHeight="1">
      <c r="A187" s="8" t="s">
        <v>499</v>
      </c>
      <c r="B187" s="8" t="s">
        <v>500</v>
      </c>
      <c r="C187" s="8" t="s">
        <v>94</v>
      </c>
      <c r="D187" s="9">
        <v>1</v>
      </c>
      <c r="E187" s="11">
        <f>TRUNC(SUMIF(W184:W187, RIGHTB(O187, 1), F184:F187)*U187, 2)</f>
        <v>780.13</v>
      </c>
      <c r="F187" s="12">
        <f>TRUNC(E187*D187,1)</f>
        <v>780.1</v>
      </c>
      <c r="G187" s="11">
        <v>0</v>
      </c>
      <c r="H187" s="12">
        <f>TRUNC(G187*D187,1)</f>
        <v>0</v>
      </c>
      <c r="I187" s="11">
        <v>0</v>
      </c>
      <c r="J187" s="12">
        <f>TRUNC(I187*D187,1)</f>
        <v>0</v>
      </c>
      <c r="K187" s="11">
        <f t="shared" si="37"/>
        <v>780.1</v>
      </c>
      <c r="L187" s="12">
        <f t="shared" si="37"/>
        <v>780.1</v>
      </c>
      <c r="M187" s="8" t="s">
        <v>52</v>
      </c>
      <c r="N187" s="2" t="s">
        <v>481</v>
      </c>
      <c r="O187" s="2" t="s">
        <v>501</v>
      </c>
      <c r="P187" s="2" t="s">
        <v>54</v>
      </c>
      <c r="Q187" s="2" t="s">
        <v>54</v>
      </c>
      <c r="R187" s="2" t="s">
        <v>54</v>
      </c>
      <c r="S187" s="3">
        <v>0</v>
      </c>
      <c r="T187" s="3">
        <v>0</v>
      </c>
      <c r="U187" s="3">
        <v>0.11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502</v>
      </c>
      <c r="AX187" s="2" t="s">
        <v>52</v>
      </c>
      <c r="AY187" s="2" t="s">
        <v>52</v>
      </c>
    </row>
    <row r="188" spans="1:51" ht="30" customHeight="1">
      <c r="A188" s="8" t="s">
        <v>208</v>
      </c>
      <c r="B188" s="8" t="s">
        <v>52</v>
      </c>
      <c r="C188" s="8" t="s">
        <v>52</v>
      </c>
      <c r="D188" s="9"/>
      <c r="E188" s="11"/>
      <c r="F188" s="12">
        <f>TRUNC(SUMIF(N184:N187, N183, F184:F187),0)</f>
        <v>7872</v>
      </c>
      <c r="G188" s="11"/>
      <c r="H188" s="12">
        <f>TRUNC(SUMIF(N184:N187, N183, H184:H187),0)</f>
        <v>0</v>
      </c>
      <c r="I188" s="11"/>
      <c r="J188" s="12">
        <f>TRUNC(SUMIF(N184:N187, N183, J184:J187),0)</f>
        <v>0</v>
      </c>
      <c r="K188" s="11"/>
      <c r="L188" s="12">
        <f>F188+H188+J188</f>
        <v>7872</v>
      </c>
      <c r="M188" s="8" t="s">
        <v>52</v>
      </c>
      <c r="N188" s="2" t="s">
        <v>209</v>
      </c>
      <c r="O188" s="2" t="s">
        <v>209</v>
      </c>
      <c r="P188" s="2" t="s">
        <v>52</v>
      </c>
      <c r="Q188" s="2" t="s">
        <v>52</v>
      </c>
      <c r="R188" s="2" t="s">
        <v>52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52</v>
      </c>
      <c r="AX188" s="2" t="s">
        <v>52</v>
      </c>
      <c r="AY188" s="2" t="s">
        <v>52</v>
      </c>
    </row>
    <row r="189" spans="1:51" ht="30" customHeight="1">
      <c r="A189" s="9"/>
      <c r="B189" s="9"/>
      <c r="C189" s="9"/>
      <c r="D189" s="9"/>
      <c r="E189" s="11"/>
      <c r="F189" s="12"/>
      <c r="G189" s="11"/>
      <c r="H189" s="12"/>
      <c r="I189" s="11"/>
      <c r="J189" s="12"/>
      <c r="K189" s="11"/>
      <c r="L189" s="12"/>
      <c r="M189" s="9"/>
    </row>
    <row r="190" spans="1:51" ht="30" customHeight="1">
      <c r="A190" s="288" t="s">
        <v>503</v>
      </c>
      <c r="B190" s="288"/>
      <c r="C190" s="288"/>
      <c r="D190" s="288"/>
      <c r="E190" s="289"/>
      <c r="F190" s="290"/>
      <c r="G190" s="289"/>
      <c r="H190" s="290"/>
      <c r="I190" s="289"/>
      <c r="J190" s="290"/>
      <c r="K190" s="289"/>
      <c r="L190" s="290"/>
      <c r="M190" s="288"/>
      <c r="N190" s="1" t="s">
        <v>485</v>
      </c>
    </row>
    <row r="191" spans="1:51" ht="30" customHeight="1">
      <c r="A191" s="8" t="s">
        <v>205</v>
      </c>
      <c r="B191" s="8" t="s">
        <v>187</v>
      </c>
      <c r="C191" s="8" t="s">
        <v>188</v>
      </c>
      <c r="D191" s="9">
        <v>0.1</v>
      </c>
      <c r="E191" s="11">
        <f>단가대비표!O36</f>
        <v>0</v>
      </c>
      <c r="F191" s="12">
        <f>TRUNC(E191*D191,1)</f>
        <v>0</v>
      </c>
      <c r="G191" s="11">
        <f>단가대비표!P36</f>
        <v>220808</v>
      </c>
      <c r="H191" s="12">
        <f>TRUNC(G191*D191,1)</f>
        <v>22080.799999999999</v>
      </c>
      <c r="I191" s="11">
        <f>단가대비표!V36</f>
        <v>0</v>
      </c>
      <c r="J191" s="12">
        <f>TRUNC(I191*D191,1)</f>
        <v>0</v>
      </c>
      <c r="K191" s="11">
        <f t="shared" ref="K191:L193" si="38">TRUNC(E191+G191+I191,1)</f>
        <v>220808</v>
      </c>
      <c r="L191" s="12">
        <f t="shared" si="38"/>
        <v>22080.799999999999</v>
      </c>
      <c r="M191" s="8" t="s">
        <v>52</v>
      </c>
      <c r="N191" s="2" t="s">
        <v>485</v>
      </c>
      <c r="O191" s="2" t="s">
        <v>206</v>
      </c>
      <c r="P191" s="2" t="s">
        <v>54</v>
      </c>
      <c r="Q191" s="2" t="s">
        <v>54</v>
      </c>
      <c r="R191" s="2" t="s">
        <v>60</v>
      </c>
      <c r="S191" s="3"/>
      <c r="T191" s="3"/>
      <c r="U191" s="3"/>
      <c r="V191" s="3">
        <v>1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505</v>
      </c>
      <c r="AX191" s="2" t="s">
        <v>52</v>
      </c>
      <c r="AY191" s="2" t="s">
        <v>52</v>
      </c>
    </row>
    <row r="192" spans="1:51" ht="30" customHeight="1">
      <c r="A192" s="8" t="s">
        <v>186</v>
      </c>
      <c r="B192" s="8" t="s">
        <v>187</v>
      </c>
      <c r="C192" s="8" t="s">
        <v>188</v>
      </c>
      <c r="D192" s="9">
        <v>0.02</v>
      </c>
      <c r="E192" s="11">
        <f>단가대비표!O34</f>
        <v>0</v>
      </c>
      <c r="F192" s="12">
        <f>TRUNC(E192*D192,1)</f>
        <v>0</v>
      </c>
      <c r="G192" s="11">
        <f>단가대비표!P34</f>
        <v>138989</v>
      </c>
      <c r="H192" s="12">
        <f>TRUNC(G192*D192,1)</f>
        <v>2779.7</v>
      </c>
      <c r="I192" s="11">
        <f>단가대비표!V34</f>
        <v>0</v>
      </c>
      <c r="J192" s="12">
        <f>TRUNC(I192*D192,1)</f>
        <v>0</v>
      </c>
      <c r="K192" s="11">
        <f t="shared" si="38"/>
        <v>138989</v>
      </c>
      <c r="L192" s="12">
        <f t="shared" si="38"/>
        <v>2779.7</v>
      </c>
      <c r="M192" s="8" t="s">
        <v>52</v>
      </c>
      <c r="N192" s="2" t="s">
        <v>485</v>
      </c>
      <c r="O192" s="2" t="s">
        <v>189</v>
      </c>
      <c r="P192" s="2" t="s">
        <v>54</v>
      </c>
      <c r="Q192" s="2" t="s">
        <v>54</v>
      </c>
      <c r="R192" s="2" t="s">
        <v>60</v>
      </c>
      <c r="S192" s="3"/>
      <c r="T192" s="3"/>
      <c r="U192" s="3"/>
      <c r="V192" s="3">
        <v>1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506</v>
      </c>
      <c r="AX192" s="2" t="s">
        <v>52</v>
      </c>
      <c r="AY192" s="2" t="s">
        <v>52</v>
      </c>
    </row>
    <row r="193" spans="1:51" ht="30" customHeight="1">
      <c r="A193" s="8" t="s">
        <v>375</v>
      </c>
      <c r="B193" s="8" t="s">
        <v>507</v>
      </c>
      <c r="C193" s="8" t="s">
        <v>94</v>
      </c>
      <c r="D193" s="9">
        <v>1</v>
      </c>
      <c r="E193" s="11">
        <v>0</v>
      </c>
      <c r="F193" s="12">
        <f>TRUNC(E193*D193,1)</f>
        <v>0</v>
      </c>
      <c r="G193" s="11">
        <v>0</v>
      </c>
      <c r="H193" s="12">
        <f>TRUNC(G193*D193,1)</f>
        <v>0</v>
      </c>
      <c r="I193" s="11">
        <f>TRUNC(SUMIF(V191:V193, RIGHTB(O193, 1), H191:H193)*U193, 2)</f>
        <v>248.6</v>
      </c>
      <c r="J193" s="12">
        <f>TRUNC(I193*D193,1)</f>
        <v>248.6</v>
      </c>
      <c r="K193" s="11">
        <f t="shared" si="38"/>
        <v>248.6</v>
      </c>
      <c r="L193" s="12">
        <f t="shared" si="38"/>
        <v>248.6</v>
      </c>
      <c r="M193" s="8" t="s">
        <v>52</v>
      </c>
      <c r="N193" s="2" t="s">
        <v>485</v>
      </c>
      <c r="O193" s="2" t="s">
        <v>95</v>
      </c>
      <c r="P193" s="2" t="s">
        <v>54</v>
      </c>
      <c r="Q193" s="2" t="s">
        <v>54</v>
      </c>
      <c r="R193" s="2" t="s">
        <v>54</v>
      </c>
      <c r="S193" s="3">
        <v>1</v>
      </c>
      <c r="T193" s="3">
        <v>2</v>
      </c>
      <c r="U193" s="3">
        <v>0.01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52</v>
      </c>
      <c r="AW193" s="2" t="s">
        <v>508</v>
      </c>
      <c r="AX193" s="2" t="s">
        <v>52</v>
      </c>
      <c r="AY193" s="2" t="s">
        <v>52</v>
      </c>
    </row>
    <row r="194" spans="1:51" ht="30" customHeight="1">
      <c r="A194" s="8" t="s">
        <v>208</v>
      </c>
      <c r="B194" s="8" t="s">
        <v>52</v>
      </c>
      <c r="C194" s="8" t="s">
        <v>52</v>
      </c>
      <c r="D194" s="9"/>
      <c r="E194" s="11"/>
      <c r="F194" s="12">
        <f>TRUNC(SUMIF(N191:N193, N190, F191:F193),0)</f>
        <v>0</v>
      </c>
      <c r="G194" s="11"/>
      <c r="H194" s="12">
        <f>TRUNC(SUMIF(N191:N193, N190, H191:H193),0)</f>
        <v>24860</v>
      </c>
      <c r="I194" s="11"/>
      <c r="J194" s="12">
        <f>TRUNC(SUMIF(N191:N193, N190, J191:J193),0)</f>
        <v>248</v>
      </c>
      <c r="K194" s="11"/>
      <c r="L194" s="12">
        <f>F194+H194+J194</f>
        <v>25108</v>
      </c>
      <c r="M194" s="8" t="s">
        <v>52</v>
      </c>
      <c r="N194" s="2" t="s">
        <v>209</v>
      </c>
      <c r="O194" s="2" t="s">
        <v>209</v>
      </c>
      <c r="P194" s="2" t="s">
        <v>52</v>
      </c>
      <c r="Q194" s="2" t="s">
        <v>52</v>
      </c>
      <c r="R194" s="2" t="s">
        <v>52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52</v>
      </c>
      <c r="AW194" s="2" t="s">
        <v>52</v>
      </c>
      <c r="AX194" s="2" t="s">
        <v>52</v>
      </c>
      <c r="AY194" s="2" t="s">
        <v>52</v>
      </c>
    </row>
  </sheetData>
  <mergeCells count="72">
    <mergeCell ref="A183:M183"/>
    <mergeCell ref="A190:M190"/>
    <mergeCell ref="A136:M136"/>
    <mergeCell ref="A144:M144"/>
    <mergeCell ref="A153:M153"/>
    <mergeCell ref="A161:M161"/>
    <mergeCell ref="A169:M169"/>
    <mergeCell ref="A178:M178"/>
    <mergeCell ref="A129:M129"/>
    <mergeCell ref="A46:M46"/>
    <mergeCell ref="A57:M57"/>
    <mergeCell ref="A63:M63"/>
    <mergeCell ref="A70:M70"/>
    <mergeCell ref="A77:M77"/>
    <mergeCell ref="A84:M84"/>
    <mergeCell ref="A90:M90"/>
    <mergeCell ref="A100:M100"/>
    <mergeCell ref="A108:M108"/>
    <mergeCell ref="A115:M115"/>
    <mergeCell ref="A122:M122"/>
    <mergeCell ref="A4:M4"/>
    <mergeCell ref="A12:M12"/>
    <mergeCell ref="A18:M18"/>
    <mergeCell ref="A24:M24"/>
    <mergeCell ref="A31:M31"/>
    <mergeCell ref="A36:M36"/>
    <mergeCell ref="AR2:AR3"/>
    <mergeCell ref="AS2:AS3"/>
    <mergeCell ref="AT2:AT3"/>
    <mergeCell ref="AU2:AU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V2:AV3"/>
    <mergeCell ref="AW2:AW3"/>
    <mergeCell ref="AL2:AL3"/>
    <mergeCell ref="AM2:AM3"/>
    <mergeCell ref="AN2:AN3"/>
    <mergeCell ref="AO2:AO3"/>
    <mergeCell ref="AP2:AP3"/>
    <mergeCell ref="AQ2:AQ3"/>
    <mergeCell ref="AE2:AE3"/>
    <mergeCell ref="T2:T3"/>
    <mergeCell ref="U2:U3"/>
    <mergeCell ref="V2:V3"/>
    <mergeCell ref="W2:W3"/>
    <mergeCell ref="X2:X3"/>
    <mergeCell ref="Y2:Y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"/>
  <sheetViews>
    <sheetView topLeftCell="B1" zoomScale="85" zoomScaleNormal="85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285" t="s">
        <v>509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1" ht="30" customHeight="1">
      <c r="A2" s="287" t="s">
        <v>1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1" ht="30" customHeight="1">
      <c r="A3" s="6" t="s">
        <v>165</v>
      </c>
      <c r="B3" s="6" t="s">
        <v>2</v>
      </c>
      <c r="C3" s="6" t="s">
        <v>3</v>
      </c>
      <c r="D3" s="6" t="s">
        <v>4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  <c r="J3" s="6" t="s">
        <v>510</v>
      </c>
      <c r="K3" s="1" t="s">
        <v>511</v>
      </c>
    </row>
    <row r="4" spans="1:11" ht="30" customHeight="1">
      <c r="A4" s="8" t="s">
        <v>75</v>
      </c>
      <c r="B4" s="8" t="s">
        <v>72</v>
      </c>
      <c r="C4" s="8" t="s">
        <v>73</v>
      </c>
      <c r="D4" s="8" t="s">
        <v>74</v>
      </c>
      <c r="E4" s="13">
        <v>253</v>
      </c>
      <c r="F4" s="13">
        <v>877</v>
      </c>
      <c r="G4" s="13">
        <v>307</v>
      </c>
      <c r="H4" s="13">
        <v>1437</v>
      </c>
      <c r="I4" s="8" t="s">
        <v>516</v>
      </c>
      <c r="J4" s="8" t="s">
        <v>52</v>
      </c>
      <c r="K4" s="2" t="s">
        <v>75</v>
      </c>
    </row>
    <row r="5" spans="1:11" ht="30" customHeight="1">
      <c r="A5" s="8" t="s">
        <v>79</v>
      </c>
      <c r="B5" s="8" t="s">
        <v>77</v>
      </c>
      <c r="C5" s="8" t="s">
        <v>78</v>
      </c>
      <c r="D5" s="8" t="s">
        <v>74</v>
      </c>
      <c r="E5" s="13">
        <v>262</v>
      </c>
      <c r="F5" s="13">
        <v>6458</v>
      </c>
      <c r="G5" s="13">
        <v>317</v>
      </c>
      <c r="H5" s="13">
        <v>7037</v>
      </c>
      <c r="I5" s="8" t="s">
        <v>519</v>
      </c>
      <c r="J5" s="8" t="s">
        <v>52</v>
      </c>
      <c r="K5" s="2" t="s">
        <v>79</v>
      </c>
    </row>
    <row r="6" spans="1:11" ht="30" customHeight="1">
      <c r="A6" s="8" t="s">
        <v>82</v>
      </c>
      <c r="B6" s="8" t="s">
        <v>81</v>
      </c>
      <c r="C6" s="8" t="s">
        <v>73</v>
      </c>
      <c r="D6" s="8" t="s">
        <v>74</v>
      </c>
      <c r="E6" s="13">
        <v>266</v>
      </c>
      <c r="F6" s="13">
        <v>12756</v>
      </c>
      <c r="G6" s="13">
        <v>228</v>
      </c>
      <c r="H6" s="13">
        <v>13250</v>
      </c>
      <c r="I6" s="8" t="s">
        <v>521</v>
      </c>
      <c r="J6" s="8" t="s">
        <v>52</v>
      </c>
      <c r="K6" s="2" t="s">
        <v>82</v>
      </c>
    </row>
    <row r="7" spans="1:11" ht="30" customHeight="1">
      <c r="A7" s="8" t="s">
        <v>86</v>
      </c>
      <c r="B7" s="8" t="s">
        <v>84</v>
      </c>
      <c r="C7" s="8" t="s">
        <v>85</v>
      </c>
      <c r="D7" s="8" t="s">
        <v>74</v>
      </c>
      <c r="E7" s="13">
        <v>305</v>
      </c>
      <c r="F7" s="13">
        <v>9850</v>
      </c>
      <c r="G7" s="13">
        <v>261</v>
      </c>
      <c r="H7" s="13">
        <v>10416</v>
      </c>
      <c r="I7" s="8" t="s">
        <v>524</v>
      </c>
      <c r="J7" s="8" t="s">
        <v>52</v>
      </c>
      <c r="K7" s="2" t="s">
        <v>86</v>
      </c>
    </row>
    <row r="8" spans="1:11" ht="30" customHeight="1">
      <c r="A8" s="8" t="s">
        <v>90</v>
      </c>
      <c r="B8" s="8" t="s">
        <v>88</v>
      </c>
      <c r="C8" s="8" t="s">
        <v>89</v>
      </c>
      <c r="D8" s="8" t="s">
        <v>74</v>
      </c>
      <c r="E8" s="13">
        <v>177</v>
      </c>
      <c r="F8" s="13">
        <v>6163</v>
      </c>
      <c r="G8" s="13">
        <v>214</v>
      </c>
      <c r="H8" s="13">
        <v>6554</v>
      </c>
      <c r="I8" s="8" t="s">
        <v>525</v>
      </c>
      <c r="J8" s="8" t="s">
        <v>52</v>
      </c>
      <c r="K8" s="2" t="s">
        <v>90</v>
      </c>
    </row>
    <row r="9" spans="1:11" ht="30" customHeight="1">
      <c r="A9" s="8" t="s">
        <v>139</v>
      </c>
      <c r="B9" s="8" t="s">
        <v>137</v>
      </c>
      <c r="C9" s="8" t="s">
        <v>52</v>
      </c>
      <c r="D9" s="8" t="s">
        <v>138</v>
      </c>
      <c r="E9" s="13">
        <v>0</v>
      </c>
      <c r="F9" s="13">
        <v>0</v>
      </c>
      <c r="G9" s="13">
        <v>14365</v>
      </c>
      <c r="H9" s="13">
        <v>14365</v>
      </c>
      <c r="I9" s="8" t="s">
        <v>527</v>
      </c>
      <c r="J9" s="8" t="s">
        <v>52</v>
      </c>
      <c r="K9" s="2" t="s">
        <v>139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89"/>
  <sheetViews>
    <sheetView zoomScale="85" zoomScaleNormal="85" workbookViewId="0">
      <pane ySplit="4" topLeftCell="A5" activePane="bottomLeft" state="frozen"/>
      <selection pane="bottomLeft" sqref="A1:AH1"/>
    </sheetView>
  </sheetViews>
  <sheetFormatPr defaultRowHeight="16.5"/>
  <cols>
    <col min="1" max="1" width="4.5" customWidth="1"/>
    <col min="2" max="2" width="4.125" customWidth="1"/>
    <col min="3" max="3" width="6.875" customWidth="1"/>
    <col min="4" max="4" width="3.5" customWidth="1"/>
    <col min="5" max="5" width="7.875" customWidth="1"/>
    <col min="6" max="6" width="5.125" customWidth="1"/>
    <col min="7" max="7" width="6.625" customWidth="1"/>
    <col min="8" max="8" width="8.625" customWidth="1"/>
    <col min="9" max="9" width="5.25" customWidth="1"/>
    <col min="10" max="10" width="5.875" customWidth="1"/>
    <col min="11" max="11" width="6.125" customWidth="1"/>
    <col min="12" max="12" width="6" customWidth="1"/>
    <col min="13" max="13" width="6.5" customWidth="1"/>
    <col min="14" max="14" width="3.625" customWidth="1"/>
    <col min="15" max="15" width="4.125" customWidth="1"/>
    <col min="16" max="16" width="4.625" customWidth="1"/>
    <col min="17" max="17" width="3.75" customWidth="1"/>
    <col min="18" max="18" width="4.125" customWidth="1"/>
    <col min="19" max="19" width="4.25" customWidth="1"/>
    <col min="20" max="20" width="4.125" customWidth="1"/>
    <col min="21" max="21" width="4.375" customWidth="1"/>
    <col min="22" max="22" width="4.5" customWidth="1"/>
    <col min="23" max="23" width="4.375" customWidth="1"/>
    <col min="24" max="24" width="4" customWidth="1"/>
    <col min="25" max="25" width="4.5" customWidth="1"/>
    <col min="26" max="26" width="4.375" customWidth="1"/>
    <col min="27" max="27" width="4.125" customWidth="1"/>
    <col min="28" max="28" width="13.5" customWidth="1"/>
    <col min="29" max="29" width="0.375" customWidth="1"/>
    <col min="30" max="30" width="12.875" customWidth="1"/>
    <col min="31" max="31" width="0.25" customWidth="1"/>
    <col min="32" max="32" width="14.125" customWidth="1"/>
    <col min="33" max="33" width="14.5" customWidth="1"/>
  </cols>
  <sheetData>
    <row r="1" spans="1:34" ht="30" customHeight="1">
      <c r="A1" s="285" t="s">
        <v>512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</row>
    <row r="2" spans="1:34" ht="30" customHeight="1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</row>
    <row r="3" spans="1:34" ht="30" customHeight="1">
      <c r="A3" s="294" t="s">
        <v>513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6"/>
      <c r="AB3" s="26" t="s">
        <v>166</v>
      </c>
      <c r="AC3" s="26"/>
      <c r="AD3" s="26" t="s">
        <v>167</v>
      </c>
      <c r="AE3" s="26"/>
      <c r="AF3" s="26" t="s">
        <v>168</v>
      </c>
      <c r="AG3" s="26" t="s">
        <v>169</v>
      </c>
      <c r="AH3" s="26" t="s">
        <v>510</v>
      </c>
    </row>
    <row r="4" spans="1:34" ht="20.100000000000001" customHeight="1">
      <c r="A4" s="192" t="s">
        <v>513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4"/>
      <c r="AC4" s="14"/>
      <c r="AD4" s="14"/>
      <c r="AE4" s="14"/>
      <c r="AF4" s="14"/>
      <c r="AG4" s="186"/>
      <c r="AH4" s="15"/>
    </row>
    <row r="5" spans="1:34" ht="20.100000000000001" customHeight="1">
      <c r="A5" s="190" t="s">
        <v>517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8"/>
      <c r="AB5" s="187"/>
      <c r="AC5" s="187"/>
      <c r="AD5" s="187"/>
      <c r="AE5" s="187"/>
      <c r="AF5" s="187"/>
      <c r="AG5" s="186"/>
      <c r="AH5" s="15"/>
    </row>
    <row r="6" spans="1:34" ht="20.100000000000001" customHeight="1">
      <c r="A6" s="36"/>
      <c r="B6" s="35"/>
      <c r="C6" s="35"/>
      <c r="D6" s="35"/>
      <c r="E6" s="35"/>
      <c r="F6" s="35"/>
      <c r="G6" s="33"/>
      <c r="H6" s="33"/>
      <c r="I6" s="35"/>
      <c r="J6" s="33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8"/>
      <c r="AB6" s="17"/>
      <c r="AC6" s="17"/>
      <c r="AD6" s="17"/>
      <c r="AE6" s="17"/>
      <c r="AF6" s="17"/>
      <c r="AG6" s="184"/>
      <c r="AH6" s="16"/>
    </row>
    <row r="7" spans="1:34" ht="20.100000000000001" customHeight="1">
      <c r="A7" s="185" t="s">
        <v>801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8"/>
      <c r="AB7" s="17"/>
      <c r="AC7" s="17"/>
      <c r="AD7" s="17"/>
      <c r="AE7" s="17"/>
      <c r="AF7" s="17"/>
      <c r="AG7" s="184"/>
      <c r="AH7" s="16"/>
    </row>
    <row r="8" spans="1:34" ht="20.100000000000001" customHeight="1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8"/>
      <c r="AB8" s="17"/>
      <c r="AC8" s="17"/>
      <c r="AD8" s="17"/>
      <c r="AE8" s="17"/>
      <c r="AF8" s="17"/>
      <c r="AG8" s="184"/>
      <c r="AH8" s="16"/>
    </row>
    <row r="9" spans="1:34" ht="20.100000000000001" customHeight="1">
      <c r="A9" s="36" t="s">
        <v>767</v>
      </c>
      <c r="B9" s="31"/>
      <c r="C9" s="31"/>
      <c r="D9" s="181"/>
      <c r="E9" s="181"/>
      <c r="F9" s="178"/>
      <c r="G9" s="183">
        <v>0.4</v>
      </c>
      <c r="H9" s="179"/>
      <c r="I9" s="178"/>
      <c r="J9" s="177"/>
      <c r="K9" s="177"/>
      <c r="L9" s="177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68"/>
      <c r="AC9" s="30"/>
      <c r="AD9" s="30"/>
      <c r="AE9" s="30"/>
      <c r="AF9" s="68"/>
      <c r="AG9" s="182"/>
      <c r="AH9" s="16"/>
    </row>
    <row r="10" spans="1:34" ht="20.100000000000001" customHeight="1">
      <c r="A10" s="36" t="s">
        <v>766</v>
      </c>
      <c r="B10" s="31"/>
      <c r="C10" s="31"/>
      <c r="D10" s="181"/>
      <c r="E10" s="181"/>
      <c r="F10" s="178"/>
      <c r="G10" s="180"/>
      <c r="H10" s="179"/>
      <c r="I10" s="178"/>
      <c r="J10" s="177"/>
      <c r="K10" s="177"/>
      <c r="L10" s="177"/>
      <c r="M10" s="176">
        <v>0.9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17"/>
      <c r="AE10" s="79"/>
      <c r="AF10" s="34"/>
      <c r="AG10" s="121"/>
      <c r="AH10" s="16"/>
    </row>
    <row r="11" spans="1:34" ht="20.100000000000001" customHeight="1">
      <c r="A11" s="36" t="s">
        <v>765</v>
      </c>
      <c r="B11" s="31"/>
      <c r="C11" s="31"/>
      <c r="D11" s="181"/>
      <c r="E11" s="181"/>
      <c r="F11" s="178"/>
      <c r="G11" s="180"/>
      <c r="H11" s="179">
        <v>0.8</v>
      </c>
      <c r="I11" s="178"/>
      <c r="J11" s="177"/>
      <c r="K11" s="177"/>
      <c r="L11" s="177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9"/>
      <c r="AC11" s="30"/>
      <c r="AD11" s="17"/>
      <c r="AE11" s="79"/>
      <c r="AF11" s="34"/>
      <c r="AG11" s="121"/>
      <c r="AH11" s="16"/>
    </row>
    <row r="12" spans="1:34" ht="20.100000000000001" customHeight="1">
      <c r="A12" s="36" t="s">
        <v>769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176">
        <v>0.7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9"/>
      <c r="AC12" s="158"/>
      <c r="AD12" s="17"/>
      <c r="AE12" s="79"/>
      <c r="AF12" s="34"/>
      <c r="AG12" s="121"/>
      <c r="AH12" s="16"/>
    </row>
    <row r="13" spans="1:34" ht="20.100000000000001" customHeight="1">
      <c r="A13" s="36" t="s">
        <v>768</v>
      </c>
      <c r="B13" s="35"/>
      <c r="C13" s="35"/>
      <c r="D13" s="35"/>
      <c r="E13" s="35"/>
      <c r="F13" s="33"/>
      <c r="G13" s="35"/>
      <c r="H13" s="35">
        <v>15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8"/>
      <c r="AB13" s="39"/>
      <c r="AC13" s="175"/>
      <c r="AD13" s="17"/>
      <c r="AE13" s="79"/>
      <c r="AF13" s="34"/>
      <c r="AG13" s="121"/>
      <c r="AH13" s="16"/>
    </row>
    <row r="14" spans="1:34" ht="20.100000000000001" customHeight="1">
      <c r="A14" s="36" t="s">
        <v>800</v>
      </c>
      <c r="B14" s="35"/>
      <c r="C14" s="35"/>
      <c r="D14" s="35"/>
      <c r="E14" s="35"/>
      <c r="F14" s="35"/>
      <c r="G14" s="35"/>
      <c r="H14" s="35"/>
      <c r="I14" s="35"/>
      <c r="J14" s="159">
        <f>3600*G9*M10*H11*L12/H13</f>
        <v>48.383999999999993</v>
      </c>
      <c r="K14" s="35"/>
      <c r="L14" s="159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9"/>
      <c r="AC14" s="174"/>
      <c r="AD14" s="30"/>
      <c r="AE14" s="79"/>
      <c r="AF14" s="34"/>
      <c r="AG14" s="121"/>
      <c r="AH14" s="152"/>
    </row>
    <row r="15" spans="1:34" ht="20.100000000000001" customHeight="1">
      <c r="A15" s="36"/>
      <c r="B15" s="35"/>
      <c r="C15" s="35"/>
      <c r="D15" s="35"/>
      <c r="E15" s="35"/>
      <c r="F15" s="35"/>
      <c r="G15" s="33"/>
      <c r="H15" s="35"/>
      <c r="I15" s="35"/>
      <c r="J15" s="33"/>
      <c r="K15" s="80"/>
      <c r="L15" s="80"/>
      <c r="M15" s="33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8"/>
      <c r="AB15" s="39"/>
      <c r="AC15" s="158"/>
      <c r="AD15" s="34"/>
      <c r="AE15" s="79"/>
      <c r="AF15" s="34"/>
      <c r="AG15" s="121"/>
      <c r="AH15" s="16"/>
    </row>
    <row r="16" spans="1:34" ht="20.100000000000001" customHeight="1">
      <c r="A16" s="142" t="s">
        <v>784</v>
      </c>
      <c r="B16" s="72"/>
      <c r="C16" s="80">
        <v>12283</v>
      </c>
      <c r="D16" s="80" t="s">
        <v>712</v>
      </c>
      <c r="E16" s="114">
        <f>+J14</f>
        <v>48.383999999999993</v>
      </c>
      <c r="F16" s="114" t="s">
        <v>793</v>
      </c>
      <c r="G16" s="169">
        <f>+ROUND(C16/E16,1)</f>
        <v>253.9</v>
      </c>
      <c r="H16" s="173"/>
      <c r="I16" s="172"/>
      <c r="J16" s="81"/>
      <c r="K16" s="81"/>
      <c r="L16" s="81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  <c r="AB16" s="171">
        <f>+G16</f>
        <v>253.9</v>
      </c>
      <c r="AC16" s="168"/>
      <c r="AD16" s="34"/>
      <c r="AE16" s="79"/>
      <c r="AF16" s="34"/>
      <c r="AG16" s="121">
        <f>+AB16</f>
        <v>253.9</v>
      </c>
      <c r="AH16" s="16"/>
    </row>
    <row r="17" spans="1:34" ht="20.100000000000001" customHeight="1">
      <c r="A17" s="142" t="s">
        <v>782</v>
      </c>
      <c r="B17" s="80"/>
      <c r="C17" s="33">
        <v>42474</v>
      </c>
      <c r="D17" s="80" t="s">
        <v>773</v>
      </c>
      <c r="E17" s="170">
        <f>+J14</f>
        <v>48.383999999999993</v>
      </c>
      <c r="F17" s="64" t="s">
        <v>771</v>
      </c>
      <c r="G17" s="169">
        <f>+ROUND(C17/E17,1)</f>
        <v>877.9</v>
      </c>
      <c r="H17" s="77"/>
      <c r="I17" s="64"/>
      <c r="J17" s="81"/>
      <c r="K17" s="81"/>
      <c r="L17" s="81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2"/>
      <c r="AB17" s="39"/>
      <c r="AC17" s="168"/>
      <c r="AD17" s="34">
        <f>+G17</f>
        <v>877.9</v>
      </c>
      <c r="AE17" s="79"/>
      <c r="AF17" s="34"/>
      <c r="AG17" s="121">
        <f>+AD17</f>
        <v>877.9</v>
      </c>
      <c r="AH17" s="16"/>
    </row>
    <row r="18" spans="1:34" ht="20.100000000000001" customHeight="1">
      <c r="A18" s="36" t="s">
        <v>799</v>
      </c>
      <c r="B18" s="33"/>
      <c r="C18" s="33">
        <v>14872</v>
      </c>
      <c r="D18" s="80" t="s">
        <v>712</v>
      </c>
      <c r="E18" s="170">
        <f>+J14</f>
        <v>48.383999999999993</v>
      </c>
      <c r="F18" s="64" t="s">
        <v>793</v>
      </c>
      <c r="G18" s="169">
        <f>+ROUND(C18/E18-0.1,1)</f>
        <v>307.3</v>
      </c>
      <c r="H18" s="77"/>
      <c r="I18" s="64"/>
      <c r="J18" s="81"/>
      <c r="K18" s="81"/>
      <c r="L18" s="81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2"/>
      <c r="AB18" s="39"/>
      <c r="AC18" s="168"/>
      <c r="AD18" s="34"/>
      <c r="AE18" s="79"/>
      <c r="AF18" s="34">
        <f>+G18</f>
        <v>307.3</v>
      </c>
      <c r="AG18" s="121">
        <f>+AF18</f>
        <v>307.3</v>
      </c>
      <c r="AH18" s="16"/>
    </row>
    <row r="19" spans="1:34" ht="20.100000000000001" customHeight="1">
      <c r="A19" s="36" t="s">
        <v>750</v>
      </c>
      <c r="B19" s="35"/>
      <c r="C19" s="35"/>
      <c r="D19" s="64"/>
      <c r="E19" s="64"/>
      <c r="F19" s="33"/>
      <c r="G19" s="35"/>
      <c r="H19" s="35"/>
      <c r="I19" s="33"/>
      <c r="J19" s="35"/>
      <c r="K19" s="35"/>
      <c r="L19" s="33"/>
      <c r="M19" s="33"/>
      <c r="N19" s="33"/>
      <c r="O19" s="33"/>
      <c r="P19" s="33"/>
      <c r="Q19" s="33"/>
      <c r="R19" s="35"/>
      <c r="S19" s="35"/>
      <c r="T19" s="35"/>
      <c r="U19" s="35"/>
      <c r="V19" s="35"/>
      <c r="W19" s="35"/>
      <c r="X19" s="35"/>
      <c r="Y19" s="35"/>
      <c r="Z19" s="35"/>
      <c r="AA19" s="38"/>
      <c r="AB19" s="167">
        <f>+G16</f>
        <v>253.9</v>
      </c>
      <c r="AC19" s="166"/>
      <c r="AD19" s="95">
        <f>+G17</f>
        <v>877.9</v>
      </c>
      <c r="AE19" s="96"/>
      <c r="AF19" s="95">
        <f>+G18</f>
        <v>307.3</v>
      </c>
      <c r="AG19" s="122">
        <f>SUM(AG16:AG18)</f>
        <v>1439.1</v>
      </c>
      <c r="AH19" s="93"/>
    </row>
    <row r="20" spans="1:34" ht="20.100000000000001" customHeight="1">
      <c r="A20" s="36"/>
      <c r="B20" s="35"/>
      <c r="C20" s="35"/>
      <c r="D20" s="64"/>
      <c r="E20" s="64"/>
      <c r="F20" s="33"/>
      <c r="G20" s="35"/>
      <c r="H20" s="35"/>
      <c r="I20" s="33"/>
      <c r="J20" s="35"/>
      <c r="K20" s="35"/>
      <c r="L20" s="33"/>
      <c r="M20" s="33"/>
      <c r="N20" s="33"/>
      <c r="O20" s="33"/>
      <c r="P20" s="100"/>
      <c r="Q20" s="100"/>
      <c r="R20" s="100"/>
      <c r="S20" s="35"/>
      <c r="T20" s="35"/>
      <c r="U20" s="35"/>
      <c r="V20" s="35"/>
      <c r="W20" s="35"/>
      <c r="X20" s="35"/>
      <c r="Y20" s="35"/>
      <c r="Z20" s="35"/>
      <c r="AA20" s="38"/>
      <c r="AB20" s="39"/>
      <c r="AC20" s="158"/>
      <c r="AD20" s="34"/>
      <c r="AE20" s="79"/>
      <c r="AF20" s="34"/>
      <c r="AG20" s="121"/>
      <c r="AH20" s="16"/>
    </row>
    <row r="21" spans="1:34" ht="20.100000000000001" customHeight="1">
      <c r="A21" s="59" t="s">
        <v>755</v>
      </c>
      <c r="B21" s="58"/>
      <c r="C21" s="58"/>
      <c r="D21" s="92"/>
      <c r="E21" s="58"/>
      <c r="F21" s="58"/>
      <c r="G21" s="58"/>
      <c r="H21" s="58"/>
      <c r="I21" s="90"/>
      <c r="J21" s="58"/>
      <c r="K21" s="58"/>
      <c r="L21" s="90"/>
      <c r="M21" s="90"/>
      <c r="N21" s="105"/>
      <c r="O21" s="105"/>
      <c r="P21" s="90"/>
      <c r="Q21" s="105"/>
      <c r="R21" s="105"/>
      <c r="S21" s="58"/>
      <c r="T21" s="165"/>
      <c r="U21" s="165"/>
      <c r="V21" s="58"/>
      <c r="W21" s="58"/>
      <c r="X21" s="58"/>
      <c r="Y21" s="58"/>
      <c r="Z21" s="58"/>
      <c r="AA21" s="57"/>
      <c r="AB21" s="164">
        <f>+TRUNC(AB19,0)</f>
        <v>253</v>
      </c>
      <c r="AC21" s="163"/>
      <c r="AD21" s="86">
        <f>+TRUNC(AD19,0)</f>
        <v>877</v>
      </c>
      <c r="AE21" s="85"/>
      <c r="AF21" s="86">
        <f>+TRUNC(AF19,0)</f>
        <v>307</v>
      </c>
      <c r="AG21" s="162">
        <f>+TRUNC(AG19,0)</f>
        <v>1439</v>
      </c>
      <c r="AH21" s="82"/>
    </row>
    <row r="22" spans="1:34" ht="20.100000000000001" customHeight="1">
      <c r="A22" s="297" t="s">
        <v>520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35"/>
      <c r="S22" s="35"/>
      <c r="T22" s="35"/>
      <c r="U22" s="35"/>
      <c r="V22" s="35"/>
      <c r="W22" s="35"/>
      <c r="X22" s="35"/>
      <c r="Y22" s="35"/>
      <c r="Z22" s="35"/>
      <c r="AA22" s="38"/>
      <c r="AB22" s="39"/>
      <c r="AC22" s="158"/>
      <c r="AD22" s="34"/>
      <c r="AE22" s="79"/>
      <c r="AF22" s="34"/>
      <c r="AG22" s="121"/>
      <c r="AH22" s="16"/>
    </row>
    <row r="23" spans="1:34" ht="20.100000000000001" customHeight="1">
      <c r="A23" s="36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8"/>
      <c r="AB23" s="39"/>
      <c r="AC23" s="158"/>
      <c r="AD23" s="34"/>
      <c r="AE23" s="79"/>
      <c r="AF23" s="34"/>
      <c r="AG23" s="121"/>
      <c r="AH23" s="16"/>
    </row>
    <row r="24" spans="1:34" ht="20.100000000000001" customHeight="1">
      <c r="A24" s="299" t="s">
        <v>798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110"/>
      <c r="O24" s="81"/>
      <c r="P24" s="81"/>
      <c r="Q24" s="81"/>
      <c r="R24" s="35"/>
      <c r="S24" s="35"/>
      <c r="T24" s="35"/>
      <c r="U24" s="35"/>
      <c r="V24" s="35"/>
      <c r="W24" s="35"/>
      <c r="X24" s="35"/>
      <c r="Y24" s="35"/>
      <c r="Z24" s="35"/>
      <c r="AA24" s="38"/>
      <c r="AB24" s="39"/>
      <c r="AC24" s="161"/>
      <c r="AD24" s="34"/>
      <c r="AE24" s="79"/>
      <c r="AF24" s="34"/>
      <c r="AG24" s="121"/>
      <c r="AH24" s="16"/>
    </row>
    <row r="25" spans="1:34" ht="20.100000000000001" customHeight="1">
      <c r="A25" s="36"/>
      <c r="B25" s="35"/>
      <c r="C25" s="35"/>
      <c r="D25" s="35"/>
      <c r="E25" s="35"/>
      <c r="F25" s="3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8"/>
      <c r="AB25" s="39"/>
      <c r="AC25" s="160"/>
      <c r="AD25" s="34"/>
      <c r="AE25" s="79"/>
      <c r="AF25" s="34"/>
      <c r="AG25" s="121"/>
      <c r="AH25" s="16"/>
    </row>
    <row r="26" spans="1:34" ht="20.100000000000001" customHeight="1">
      <c r="A26" s="36" t="s">
        <v>767</v>
      </c>
      <c r="B26" s="35"/>
      <c r="C26" s="35"/>
      <c r="D26" s="35"/>
      <c r="E26" s="35"/>
      <c r="F26" s="159">
        <v>0.4</v>
      </c>
      <c r="G26" s="35"/>
      <c r="H26" s="3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8"/>
      <c r="AB26" s="39"/>
      <c r="AC26" s="158"/>
      <c r="AD26" s="34"/>
      <c r="AE26" s="79"/>
      <c r="AF26" s="34"/>
      <c r="AG26" s="121"/>
      <c r="AH26" s="16"/>
    </row>
    <row r="27" spans="1:34" ht="20.100000000000001" customHeight="1">
      <c r="A27" s="36" t="s">
        <v>766</v>
      </c>
      <c r="B27" s="35"/>
      <c r="C27" s="35"/>
      <c r="D27" s="35"/>
      <c r="E27" s="35"/>
      <c r="F27" s="33"/>
      <c r="G27" s="35"/>
      <c r="H27" s="35"/>
      <c r="I27" s="35"/>
      <c r="J27" s="35"/>
      <c r="K27" s="134">
        <v>0.9</v>
      </c>
      <c r="L27" s="12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8"/>
      <c r="AB27" s="39"/>
      <c r="AC27" s="158"/>
      <c r="AD27" s="34"/>
      <c r="AE27" s="79"/>
      <c r="AF27" s="34"/>
      <c r="AG27" s="121"/>
      <c r="AH27" s="16"/>
    </row>
    <row r="28" spans="1:34" ht="20.100000000000001" customHeight="1">
      <c r="A28" s="36" t="s">
        <v>765</v>
      </c>
      <c r="B28" s="35"/>
      <c r="C28" s="35"/>
      <c r="D28" s="35"/>
      <c r="E28" s="35"/>
      <c r="F28" s="35"/>
      <c r="G28" s="35"/>
      <c r="H28" s="35">
        <v>0.8</v>
      </c>
      <c r="I28" s="33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8"/>
      <c r="AB28" s="39"/>
      <c r="AC28" s="51"/>
      <c r="AD28" s="34"/>
      <c r="AE28" s="79"/>
      <c r="AF28" s="34"/>
      <c r="AG28" s="121"/>
      <c r="AH28" s="16"/>
    </row>
    <row r="29" spans="1:34" ht="20.100000000000001" customHeight="1">
      <c r="A29" s="36" t="s">
        <v>764</v>
      </c>
      <c r="B29" s="35"/>
      <c r="C29" s="35"/>
      <c r="D29" s="35"/>
      <c r="E29" s="35"/>
      <c r="F29" s="35"/>
      <c r="G29" s="35">
        <v>0.05</v>
      </c>
      <c r="H29" s="35"/>
      <c r="I29" s="75"/>
      <c r="J29" s="7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8"/>
      <c r="AB29" s="39"/>
      <c r="AC29" s="51"/>
      <c r="AD29" s="34"/>
      <c r="AE29" s="79"/>
      <c r="AF29" s="34"/>
      <c r="AG29" s="121"/>
      <c r="AH29" s="16"/>
    </row>
    <row r="30" spans="1:34" ht="20.100000000000001" customHeight="1">
      <c r="A30" s="36" t="s">
        <v>763</v>
      </c>
      <c r="B30" s="35"/>
      <c r="C30" s="35"/>
      <c r="D30" s="35"/>
      <c r="E30" s="33"/>
      <c r="F30" s="35"/>
      <c r="G30" s="35"/>
      <c r="H30" s="35"/>
      <c r="I30" s="35"/>
      <c r="J30" s="35"/>
      <c r="K30" s="35"/>
      <c r="L30" s="35">
        <v>0.65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8"/>
      <c r="AB30" s="39"/>
      <c r="AC30" s="51"/>
      <c r="AD30" s="34"/>
      <c r="AE30" s="79"/>
      <c r="AF30" s="34"/>
      <c r="AG30" s="121"/>
      <c r="AH30" s="16"/>
    </row>
    <row r="31" spans="1:34" ht="20.100000000000001" customHeight="1">
      <c r="A31" s="36" t="s">
        <v>762</v>
      </c>
      <c r="B31" s="35"/>
      <c r="C31" s="35"/>
      <c r="D31" s="35"/>
      <c r="E31" s="35"/>
      <c r="F31" s="35"/>
      <c r="G31" s="35"/>
      <c r="H31" s="35">
        <v>18</v>
      </c>
      <c r="I31" s="35"/>
      <c r="J31" s="33"/>
      <c r="K31" s="35"/>
      <c r="L31" s="35"/>
      <c r="M31" s="35"/>
      <c r="N31" s="80"/>
      <c r="O31" s="80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8"/>
      <c r="AB31" s="39"/>
      <c r="AC31" s="51"/>
      <c r="AD31" s="34"/>
      <c r="AE31" s="79"/>
      <c r="AF31" s="34"/>
      <c r="AG31" s="121"/>
      <c r="AH31" s="16"/>
    </row>
    <row r="32" spans="1:34" ht="20.100000000000001" customHeight="1">
      <c r="A32" s="36" t="s">
        <v>761</v>
      </c>
      <c r="B32" s="35"/>
      <c r="C32" s="35"/>
      <c r="D32" s="35"/>
      <c r="E32" s="35"/>
      <c r="F32" s="35"/>
      <c r="G32" s="35"/>
      <c r="H32" s="80"/>
      <c r="I32" s="80"/>
      <c r="J32" s="35">
        <f>+ROUND(3600*F26*K27*H28*L30/H31/0.8,1)</f>
        <v>46.8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8"/>
      <c r="AB32" s="39"/>
      <c r="AC32" s="51"/>
      <c r="AD32" s="34"/>
      <c r="AE32" s="79"/>
      <c r="AF32" s="34"/>
      <c r="AG32" s="121"/>
      <c r="AH32" s="16"/>
    </row>
    <row r="33" spans="1:34" ht="20.100000000000001" customHeight="1">
      <c r="A33" s="36"/>
      <c r="B33" s="35"/>
      <c r="C33" s="35"/>
      <c r="D33" s="35"/>
      <c r="E33" s="35"/>
      <c r="F33" s="35"/>
      <c r="G33" s="35"/>
      <c r="H33" s="35"/>
      <c r="I33" s="33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8"/>
      <c r="AB33" s="39"/>
      <c r="AC33" s="51"/>
      <c r="AD33" s="34"/>
      <c r="AE33" s="79"/>
      <c r="AF33" s="34"/>
      <c r="AG33" s="121"/>
      <c r="AH33" s="16"/>
    </row>
    <row r="34" spans="1:34" ht="20.100000000000001" customHeight="1">
      <c r="A34" s="36" t="s">
        <v>797</v>
      </c>
      <c r="B34" s="35"/>
      <c r="C34" s="35">
        <v>12283</v>
      </c>
      <c r="D34" s="64" t="s">
        <v>712</v>
      </c>
      <c r="E34" s="64">
        <f>+J32</f>
        <v>46.8</v>
      </c>
      <c r="F34" s="64" t="s">
        <v>771</v>
      </c>
      <c r="G34" s="157">
        <f>+TRUNC(C34/E34,1)</f>
        <v>262.39999999999998</v>
      </c>
      <c r="H34" s="35"/>
      <c r="I34" s="35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8"/>
      <c r="AB34" s="156">
        <f>+G34</f>
        <v>262.39999999999998</v>
      </c>
      <c r="AC34" s="51"/>
      <c r="AD34" s="34"/>
      <c r="AE34" s="79"/>
      <c r="AF34" s="34"/>
      <c r="AG34" s="133">
        <f>+AB34</f>
        <v>262.39999999999998</v>
      </c>
      <c r="AH34" s="16"/>
    </row>
    <row r="35" spans="1:34" ht="20.100000000000001" customHeight="1">
      <c r="A35" s="36" t="s">
        <v>757</v>
      </c>
      <c r="B35" s="35"/>
      <c r="C35" s="35">
        <v>42474</v>
      </c>
      <c r="D35" s="127" t="s">
        <v>712</v>
      </c>
      <c r="E35" s="155">
        <f>+J32</f>
        <v>46.8</v>
      </c>
      <c r="F35" s="64" t="s">
        <v>793</v>
      </c>
      <c r="G35" s="110">
        <f>+TRUNC(C35/E35,1)</f>
        <v>907.5</v>
      </c>
      <c r="H35" s="64"/>
      <c r="I35" s="64"/>
      <c r="J35" s="99"/>
      <c r="K35" s="64"/>
      <c r="L35" s="124"/>
      <c r="M35" s="35"/>
      <c r="N35" s="64"/>
      <c r="O35" s="62"/>
      <c r="P35" s="154"/>
      <c r="Q35" s="154"/>
      <c r="R35" s="154"/>
      <c r="S35" s="35"/>
      <c r="T35" s="35"/>
      <c r="U35" s="35"/>
      <c r="V35" s="35"/>
      <c r="W35" s="35"/>
      <c r="X35" s="35"/>
      <c r="Y35" s="35"/>
      <c r="Z35" s="35"/>
      <c r="AA35" s="38"/>
      <c r="AB35" s="39"/>
      <c r="AC35" s="120"/>
      <c r="AD35" s="34">
        <f>+G35</f>
        <v>907.5</v>
      </c>
      <c r="AE35" s="79"/>
      <c r="AF35" s="34"/>
      <c r="AG35" s="133">
        <f>+AD35</f>
        <v>907.5</v>
      </c>
      <c r="AH35" s="16"/>
    </row>
    <row r="36" spans="1:34" ht="20.100000000000001" customHeight="1">
      <c r="A36" s="36" t="s">
        <v>760</v>
      </c>
      <c r="B36" s="35"/>
      <c r="C36" s="35">
        <v>14872</v>
      </c>
      <c r="D36" s="64" t="s">
        <v>777</v>
      </c>
      <c r="E36" s="64">
        <f>+J32</f>
        <v>46.8</v>
      </c>
      <c r="F36" s="64" t="s">
        <v>707</v>
      </c>
      <c r="G36" s="110">
        <f>+TRUNC(C36/E36,1)</f>
        <v>317.7</v>
      </c>
      <c r="H36" s="35"/>
      <c r="I36" s="3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8"/>
      <c r="AB36" s="39"/>
      <c r="AC36" s="120"/>
      <c r="AD36" s="34"/>
      <c r="AE36" s="79"/>
      <c r="AF36" s="34">
        <f>+G36</f>
        <v>317.7</v>
      </c>
      <c r="AG36" s="133">
        <f>+AF36</f>
        <v>317.7</v>
      </c>
      <c r="AH36" s="16"/>
    </row>
    <row r="37" spans="1:34" ht="20.100000000000001" customHeight="1">
      <c r="A37" s="36" t="s">
        <v>781</v>
      </c>
      <c r="B37" s="33"/>
      <c r="C37" s="33"/>
      <c r="D37" s="80"/>
      <c r="E37" s="80"/>
      <c r="F37" s="64"/>
      <c r="G37" s="78"/>
      <c r="H37" s="77"/>
      <c r="I37" s="64"/>
      <c r="J37" s="81"/>
      <c r="K37" s="81"/>
      <c r="L37" s="8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2"/>
      <c r="AB37" s="153">
        <f>+AB34</f>
        <v>262.39999999999998</v>
      </c>
      <c r="AC37" s="97"/>
      <c r="AD37" s="95">
        <f>+AD35</f>
        <v>907.5</v>
      </c>
      <c r="AE37" s="96"/>
      <c r="AF37" s="95">
        <f>+AF36</f>
        <v>317.7</v>
      </c>
      <c r="AG37" s="122">
        <f>SUM(AG34:AG36)</f>
        <v>1487.6000000000001</v>
      </c>
      <c r="AH37" s="93"/>
    </row>
    <row r="38" spans="1:34" ht="20.100000000000001" customHeight="1">
      <c r="A38" s="36"/>
      <c r="B38" s="33"/>
      <c r="C38" s="33"/>
      <c r="D38" s="80"/>
      <c r="E38" s="80"/>
      <c r="F38" s="64"/>
      <c r="G38" s="78"/>
      <c r="H38" s="77"/>
      <c r="I38" s="64"/>
      <c r="J38" s="81"/>
      <c r="K38" s="81"/>
      <c r="L38" s="81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2"/>
      <c r="AB38" s="39"/>
      <c r="AC38" s="52"/>
      <c r="AD38" s="34"/>
      <c r="AE38" s="79"/>
      <c r="AF38" s="34"/>
      <c r="AG38" s="121"/>
      <c r="AH38" s="16"/>
    </row>
    <row r="39" spans="1:34" ht="20.100000000000001" customHeight="1">
      <c r="A39" s="299" t="s">
        <v>759</v>
      </c>
      <c r="B39" s="300"/>
      <c r="C39" s="300"/>
      <c r="D39" s="300"/>
      <c r="E39" s="300"/>
      <c r="F39" s="300"/>
      <c r="G39" s="300"/>
      <c r="H39" s="300"/>
      <c r="I39" s="300"/>
      <c r="J39" s="81"/>
      <c r="K39" s="81"/>
      <c r="L39" s="81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2"/>
      <c r="AB39" s="39"/>
      <c r="AC39" s="52"/>
      <c r="AD39" s="34"/>
      <c r="AE39" s="79"/>
      <c r="AF39" s="34"/>
      <c r="AG39" s="121"/>
      <c r="AH39" s="16"/>
    </row>
    <row r="40" spans="1:34" ht="20.100000000000001" customHeight="1">
      <c r="A40" s="36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2"/>
      <c r="AB40" s="39"/>
      <c r="AC40" s="51"/>
      <c r="AD40" s="34"/>
      <c r="AE40" s="79"/>
      <c r="AF40" s="34"/>
      <c r="AG40" s="121"/>
      <c r="AH40" s="16"/>
    </row>
    <row r="41" spans="1:34" ht="20.100000000000001" customHeight="1">
      <c r="A41" s="36" t="s">
        <v>758</v>
      </c>
      <c r="B41" s="35"/>
      <c r="C41" s="35"/>
      <c r="D41" s="35"/>
      <c r="E41" s="35"/>
      <c r="F41" s="35"/>
      <c r="G41" s="35"/>
      <c r="H41" s="35"/>
      <c r="I41" s="35">
        <v>3.13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8"/>
      <c r="AB41" s="39"/>
      <c r="AC41" s="120"/>
      <c r="AD41" s="34"/>
      <c r="AE41" s="79"/>
      <c r="AF41" s="34"/>
      <c r="AG41" s="121"/>
      <c r="AH41" s="16"/>
    </row>
    <row r="42" spans="1:34" ht="20.100000000000001" customHeight="1">
      <c r="A42" s="3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8"/>
      <c r="AB42" s="39"/>
      <c r="AC42" s="119"/>
      <c r="AD42" s="34"/>
      <c r="AE42" s="79"/>
      <c r="AF42" s="34"/>
      <c r="AG42" s="121"/>
      <c r="AH42" s="152"/>
    </row>
    <row r="43" spans="1:34" ht="20.100000000000001" customHeight="1">
      <c r="A43" s="36" t="s">
        <v>717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3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8"/>
      <c r="AB43" s="39"/>
      <c r="AC43" s="120"/>
      <c r="AD43" s="34"/>
      <c r="AE43" s="79"/>
      <c r="AF43" s="34"/>
      <c r="AG43" s="121"/>
      <c r="AH43" s="16"/>
    </row>
    <row r="44" spans="1:34" ht="20.100000000000001" customHeight="1">
      <c r="A44" s="36" t="s">
        <v>757</v>
      </c>
      <c r="B44" s="35"/>
      <c r="C44" s="35">
        <v>138989</v>
      </c>
      <c r="D44" s="35" t="s">
        <v>708</v>
      </c>
      <c r="E44" s="35" t="s">
        <v>756</v>
      </c>
      <c r="F44" s="35"/>
      <c r="G44" s="35">
        <f>+C44*1/8/3.13-0.1</f>
        <v>5550.5789137380189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8"/>
      <c r="AB44" s="39"/>
      <c r="AC44" s="120"/>
      <c r="AD44" s="34">
        <f>+G44</f>
        <v>5550.5789137380189</v>
      </c>
      <c r="AE44" s="79"/>
      <c r="AF44" s="34"/>
      <c r="AG44" s="133">
        <f>+AD44</f>
        <v>5550.5789137380189</v>
      </c>
      <c r="AH44" s="16"/>
    </row>
    <row r="45" spans="1:34" ht="20.100000000000001" customHeight="1">
      <c r="A45" s="36" t="s">
        <v>796</v>
      </c>
      <c r="B45" s="35"/>
      <c r="C45" s="35"/>
      <c r="D45" s="35"/>
      <c r="E45" s="35"/>
      <c r="F45" s="35"/>
      <c r="G45" s="35"/>
      <c r="H45" s="35"/>
      <c r="I45" s="35"/>
      <c r="J45" s="33"/>
      <c r="K45" s="35"/>
      <c r="L45" s="124"/>
      <c r="M45" s="12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8"/>
      <c r="AB45" s="98"/>
      <c r="AC45" s="123"/>
      <c r="AD45" s="95">
        <f>+G44</f>
        <v>5550.5789137380189</v>
      </c>
      <c r="AE45" s="96"/>
      <c r="AF45" s="95"/>
      <c r="AG45" s="122">
        <f>+AD45</f>
        <v>5550.5789137380189</v>
      </c>
      <c r="AH45" s="93"/>
    </row>
    <row r="46" spans="1:34" ht="20.100000000000001" customHeight="1">
      <c r="A46" s="36"/>
      <c r="B46" s="35"/>
      <c r="C46" s="35"/>
      <c r="D46" s="35"/>
      <c r="E46" s="35"/>
      <c r="F46" s="35"/>
      <c r="G46" s="33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8"/>
      <c r="AB46" s="39"/>
      <c r="AC46" s="120"/>
      <c r="AD46" s="34"/>
      <c r="AE46" s="79"/>
      <c r="AF46" s="34"/>
      <c r="AG46" s="133"/>
      <c r="AH46" s="16"/>
    </row>
    <row r="47" spans="1:34" ht="20.100000000000001" customHeight="1">
      <c r="A47" s="59" t="s">
        <v>755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7"/>
      <c r="AB47" s="151">
        <f>+TRUNC(AB37,1)</f>
        <v>262.39999999999998</v>
      </c>
      <c r="AC47" s="150"/>
      <c r="AD47" s="86">
        <f>+TRUNC(AD37+AD45,0)</f>
        <v>6458</v>
      </c>
      <c r="AE47" s="85"/>
      <c r="AF47" s="86">
        <f>+ROUND(AF37-0.7,1)</f>
        <v>317</v>
      </c>
      <c r="AG47" s="129">
        <f>+ROUND(AG37+AG45-2,1)</f>
        <v>7036.2</v>
      </c>
      <c r="AH47" s="82"/>
    </row>
    <row r="48" spans="1:34" ht="20.100000000000001" customHeight="1">
      <c r="A48" s="149" t="s">
        <v>522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7"/>
      <c r="M48" s="147"/>
      <c r="N48" s="147"/>
      <c r="O48" s="147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8"/>
      <c r="AB48" s="39"/>
      <c r="AC48" s="120"/>
      <c r="AD48" s="34"/>
      <c r="AE48" s="79"/>
      <c r="AF48" s="34"/>
      <c r="AG48" s="121"/>
      <c r="AH48" s="16"/>
    </row>
    <row r="49" spans="1:34" ht="20.100000000000001" customHeight="1">
      <c r="A49" s="36"/>
      <c r="B49" s="35"/>
      <c r="C49" s="35"/>
      <c r="D49" s="35"/>
      <c r="E49" s="35"/>
      <c r="F49" s="64"/>
      <c r="G49" s="124"/>
      <c r="H49" s="35"/>
      <c r="I49" s="64"/>
      <c r="J49" s="62"/>
      <c r="K49" s="62"/>
      <c r="L49" s="62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8"/>
      <c r="AB49" s="39"/>
      <c r="AC49" s="120"/>
      <c r="AD49" s="34"/>
      <c r="AE49" s="79"/>
      <c r="AF49" s="34"/>
      <c r="AG49" s="121"/>
      <c r="AH49" s="16"/>
    </row>
    <row r="50" spans="1:34" ht="20.100000000000001" customHeight="1">
      <c r="A50" s="36" t="s">
        <v>729</v>
      </c>
      <c r="B50" s="35"/>
      <c r="C50" s="35"/>
      <c r="D50" s="35"/>
      <c r="E50" s="35"/>
      <c r="F50" s="64"/>
      <c r="G50" s="124"/>
      <c r="H50" s="35"/>
      <c r="I50" s="64"/>
      <c r="J50" s="62"/>
      <c r="K50" s="62"/>
      <c r="L50" s="62"/>
      <c r="M50" s="33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8"/>
      <c r="AB50" s="39"/>
      <c r="AC50" s="120"/>
      <c r="AD50" s="34"/>
      <c r="AE50" s="79"/>
      <c r="AF50" s="34"/>
      <c r="AG50" s="121"/>
      <c r="AH50" s="16"/>
    </row>
    <row r="51" spans="1:34" ht="20.100000000000001" customHeight="1">
      <c r="A51" s="36" t="s">
        <v>728</v>
      </c>
      <c r="B51" s="33"/>
      <c r="C51" s="33"/>
      <c r="D51" s="33"/>
      <c r="E51" s="33">
        <v>0.4</v>
      </c>
      <c r="F51" s="33"/>
      <c r="G51" s="33"/>
      <c r="H51" s="33"/>
      <c r="I51" s="33"/>
      <c r="J51" s="33"/>
      <c r="K51" s="33"/>
      <c r="L51" s="33"/>
      <c r="M51" s="33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8"/>
      <c r="AB51" s="39"/>
      <c r="AC51" s="120"/>
      <c r="AD51" s="34"/>
      <c r="AE51" s="79"/>
      <c r="AF51" s="34"/>
      <c r="AG51" s="121"/>
      <c r="AH51" s="16"/>
    </row>
    <row r="52" spans="1:34" ht="20.100000000000001" customHeight="1">
      <c r="A52" s="36" t="s">
        <v>742</v>
      </c>
      <c r="B52" s="33"/>
      <c r="C52" s="33"/>
      <c r="D52" s="33"/>
      <c r="E52" s="33">
        <v>1.1000000000000001</v>
      </c>
      <c r="F52" s="33"/>
      <c r="G52" s="33"/>
      <c r="H52" s="33"/>
      <c r="I52" s="301"/>
      <c r="J52" s="301"/>
      <c r="K52" s="33"/>
      <c r="L52" s="33"/>
      <c r="M52" s="33"/>
      <c r="N52" s="35"/>
      <c r="O52" s="35"/>
      <c r="P52" s="35"/>
      <c r="Q52" s="146"/>
      <c r="R52" s="35"/>
      <c r="S52" s="35"/>
      <c r="T52" s="35"/>
      <c r="U52" s="35"/>
      <c r="V52" s="35"/>
      <c r="W52" s="35"/>
      <c r="X52" s="35"/>
      <c r="Y52" s="62"/>
      <c r="Z52" s="62"/>
      <c r="AA52" s="145"/>
      <c r="AB52" s="39"/>
      <c r="AC52" s="120"/>
      <c r="AD52" s="34"/>
      <c r="AE52" s="79"/>
      <c r="AF52" s="34"/>
      <c r="AG52" s="121"/>
      <c r="AH52" s="16"/>
    </row>
    <row r="53" spans="1:34" ht="20.100000000000001" customHeight="1">
      <c r="A53" s="36" t="s">
        <v>795</v>
      </c>
      <c r="B53" s="33"/>
      <c r="C53" s="33"/>
      <c r="D53" s="33"/>
      <c r="E53" s="33"/>
      <c r="F53" s="33">
        <v>1.25</v>
      </c>
      <c r="G53" s="301"/>
      <c r="H53" s="301"/>
      <c r="I53" s="33"/>
      <c r="J53" s="33"/>
      <c r="K53" s="33"/>
      <c r="L53" s="33"/>
      <c r="M53" s="33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8"/>
      <c r="AB53" s="39"/>
      <c r="AC53" s="120"/>
      <c r="AD53" s="34"/>
      <c r="AE53" s="79"/>
      <c r="AF53" s="34"/>
      <c r="AG53" s="121"/>
      <c r="AH53" s="16"/>
    </row>
    <row r="54" spans="1:34" ht="20.100000000000001" customHeight="1">
      <c r="A54" s="36" t="s">
        <v>725</v>
      </c>
      <c r="B54" s="33"/>
      <c r="C54" s="33"/>
      <c r="D54" s="33"/>
      <c r="E54" s="33">
        <v>0.875</v>
      </c>
      <c r="F54" s="33"/>
      <c r="G54" s="33"/>
      <c r="H54" s="33"/>
      <c r="I54" s="33"/>
      <c r="J54" s="301"/>
      <c r="K54" s="301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2"/>
      <c r="AB54" s="39"/>
      <c r="AC54" s="139"/>
      <c r="AD54" s="34"/>
      <c r="AE54" s="79"/>
      <c r="AF54" s="34"/>
      <c r="AG54" s="121"/>
      <c r="AH54" s="16"/>
    </row>
    <row r="55" spans="1:34" ht="20.100000000000001" customHeight="1">
      <c r="A55" s="36" t="s">
        <v>724</v>
      </c>
      <c r="B55" s="33"/>
      <c r="C55" s="33"/>
      <c r="D55" s="33"/>
      <c r="E55" s="33"/>
      <c r="F55" s="33"/>
      <c r="G55" s="33">
        <v>0.7</v>
      </c>
      <c r="H55" s="33"/>
      <c r="I55" s="33"/>
      <c r="J55" s="33"/>
      <c r="K55" s="33"/>
      <c r="L55" s="33"/>
      <c r="M55" s="33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8"/>
      <c r="AB55" s="39"/>
      <c r="AC55" s="51"/>
      <c r="AD55" s="34"/>
      <c r="AE55" s="79"/>
      <c r="AF55" s="34"/>
      <c r="AG55" s="121"/>
      <c r="AH55" s="16"/>
    </row>
    <row r="56" spans="1:34" ht="20.100000000000001" customHeight="1">
      <c r="A56" s="144" t="s">
        <v>754</v>
      </c>
      <c r="B56" s="108"/>
      <c r="C56" s="108"/>
      <c r="D56" s="108"/>
      <c r="E56" s="108"/>
      <c r="F56" s="108"/>
      <c r="G56" s="108"/>
      <c r="H56" s="33"/>
      <c r="I56" s="33">
        <v>0.75</v>
      </c>
      <c r="J56" s="33"/>
      <c r="K56" s="33"/>
      <c r="L56" s="33"/>
      <c r="M56" s="33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8"/>
      <c r="AB56" s="39"/>
      <c r="AC56" s="143"/>
      <c r="AD56" s="34"/>
      <c r="AE56" s="79"/>
      <c r="AF56" s="34"/>
      <c r="AG56" s="121"/>
      <c r="AH56" s="16"/>
    </row>
    <row r="57" spans="1:34" ht="20.100000000000001" customHeight="1">
      <c r="A57" s="36" t="s">
        <v>722</v>
      </c>
      <c r="B57" s="33"/>
      <c r="C57" s="33"/>
      <c r="D57" s="33"/>
      <c r="E57" s="33"/>
      <c r="F57" s="33"/>
      <c r="G57" s="33">
        <v>15</v>
      </c>
      <c r="H57" s="33"/>
      <c r="I57" s="33"/>
      <c r="J57" s="33"/>
      <c r="K57" s="33"/>
      <c r="L57" s="33"/>
      <c r="M57" s="33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8"/>
      <c r="AB57" s="39"/>
      <c r="AC57" s="51"/>
      <c r="AD57" s="34"/>
      <c r="AE57" s="79"/>
      <c r="AF57" s="34"/>
      <c r="AG57" s="121"/>
      <c r="AH57" s="16"/>
    </row>
    <row r="58" spans="1:34" ht="20.100000000000001" customHeight="1">
      <c r="A58" s="36" t="s">
        <v>753</v>
      </c>
      <c r="B58" s="33"/>
      <c r="C58" s="33"/>
      <c r="D58" s="33"/>
      <c r="E58" s="33"/>
      <c r="F58" s="33"/>
      <c r="G58" s="33"/>
      <c r="H58" s="33"/>
      <c r="I58" s="33"/>
      <c r="J58" s="33">
        <f>+ROUND(3600*E51*E52*G55*I56/G57/0.7,1)</f>
        <v>79.2</v>
      </c>
      <c r="K58" s="33"/>
      <c r="L58" s="33"/>
      <c r="M58" s="33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8"/>
      <c r="AB58" s="39"/>
      <c r="AC58" s="51"/>
      <c r="AD58" s="34"/>
      <c r="AE58" s="79"/>
      <c r="AF58" s="34"/>
      <c r="AG58" s="121"/>
      <c r="AH58" s="16"/>
    </row>
    <row r="59" spans="1:34" ht="20.100000000000001" customHeight="1">
      <c r="A59" s="36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8"/>
      <c r="AB59" s="39"/>
      <c r="AC59" s="51"/>
      <c r="AD59" s="34"/>
      <c r="AE59" s="79"/>
      <c r="AF59" s="34"/>
      <c r="AG59" s="121"/>
      <c r="AH59" s="16"/>
    </row>
    <row r="60" spans="1:34" ht="20.100000000000001" customHeight="1">
      <c r="A60" s="36" t="s">
        <v>794</v>
      </c>
      <c r="B60" s="33"/>
      <c r="C60" s="33">
        <v>12283</v>
      </c>
      <c r="D60" s="64" t="s">
        <v>712</v>
      </c>
      <c r="E60" s="33">
        <f>+J58</f>
        <v>79.2</v>
      </c>
      <c r="F60" s="99" t="s">
        <v>771</v>
      </c>
      <c r="G60" s="33">
        <f>TRUNC(C60/E60,1)</f>
        <v>155</v>
      </c>
      <c r="H60" s="33"/>
      <c r="I60" s="33"/>
      <c r="J60" s="33"/>
      <c r="K60" s="33"/>
      <c r="L60" s="33"/>
      <c r="M60" s="33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8"/>
      <c r="AB60" s="39">
        <f>+G60</f>
        <v>155</v>
      </c>
      <c r="AC60" s="51"/>
      <c r="AD60" s="34"/>
      <c r="AE60" s="79"/>
      <c r="AF60" s="34"/>
      <c r="AG60" s="133">
        <f>+AB60</f>
        <v>155</v>
      </c>
      <c r="AH60" s="16"/>
    </row>
    <row r="61" spans="1:34" ht="20.100000000000001" customHeight="1">
      <c r="A61" s="36" t="s">
        <v>716</v>
      </c>
      <c r="B61" s="33"/>
      <c r="C61" s="33">
        <v>42474</v>
      </c>
      <c r="D61" s="64" t="s">
        <v>783</v>
      </c>
      <c r="E61" s="33">
        <f>+J58</f>
        <v>79.2</v>
      </c>
      <c r="F61" s="99" t="s">
        <v>707</v>
      </c>
      <c r="G61" s="33">
        <f>+TRUNC(C61/E61,1)</f>
        <v>536.20000000000005</v>
      </c>
      <c r="H61" s="33"/>
      <c r="I61" s="33"/>
      <c r="J61" s="33"/>
      <c r="K61" s="33"/>
      <c r="L61" s="33"/>
      <c r="M61" s="33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8"/>
      <c r="AB61" s="39"/>
      <c r="AC61" s="51"/>
      <c r="AD61" s="34">
        <f>+G61</f>
        <v>536.20000000000005</v>
      </c>
      <c r="AE61" s="79"/>
      <c r="AF61" s="34"/>
      <c r="AG61" s="133">
        <f>+AD61</f>
        <v>536.20000000000005</v>
      </c>
      <c r="AH61" s="16"/>
    </row>
    <row r="62" spans="1:34" ht="20.100000000000001" customHeight="1">
      <c r="A62" s="36" t="s">
        <v>778</v>
      </c>
      <c r="B62" s="33"/>
      <c r="C62" s="33">
        <v>14872</v>
      </c>
      <c r="D62" s="64" t="s">
        <v>712</v>
      </c>
      <c r="E62" s="33">
        <f>+J58</f>
        <v>79.2</v>
      </c>
      <c r="F62" s="99" t="s">
        <v>793</v>
      </c>
      <c r="G62" s="33">
        <f>+TRUNC(C62/E62,1)</f>
        <v>187.7</v>
      </c>
      <c r="H62" s="33"/>
      <c r="I62" s="33"/>
      <c r="J62" s="33"/>
      <c r="K62" s="33"/>
      <c r="L62" s="33"/>
      <c r="M62" s="33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8"/>
      <c r="AB62" s="39"/>
      <c r="AC62" s="51"/>
      <c r="AD62" s="34"/>
      <c r="AE62" s="79"/>
      <c r="AF62" s="34">
        <f>+G62</f>
        <v>187.7</v>
      </c>
      <c r="AG62" s="133">
        <f>+AF62</f>
        <v>187.7</v>
      </c>
      <c r="AH62" s="16"/>
    </row>
    <row r="63" spans="1:34" ht="20.100000000000001" customHeight="1">
      <c r="A63" s="36" t="s">
        <v>706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8"/>
      <c r="AB63" s="98">
        <f>SUM(AB60:AB62)</f>
        <v>155</v>
      </c>
      <c r="AC63" s="113"/>
      <c r="AD63" s="95">
        <f>SUM(AD61)</f>
        <v>536.20000000000005</v>
      </c>
      <c r="AE63" s="96"/>
      <c r="AF63" s="95">
        <f>SUM(AF62)</f>
        <v>187.7</v>
      </c>
      <c r="AG63" s="122">
        <f>SUM(AG60:AG62)</f>
        <v>878.90000000000009</v>
      </c>
      <c r="AH63" s="93"/>
    </row>
    <row r="64" spans="1:34" ht="20.100000000000001" customHeight="1">
      <c r="A64" s="36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8"/>
      <c r="AB64" s="39"/>
      <c r="AC64" s="51"/>
      <c r="AD64" s="34"/>
      <c r="AE64" s="79"/>
      <c r="AF64" s="34"/>
      <c r="AG64" s="121"/>
      <c r="AH64" s="16"/>
    </row>
    <row r="65" spans="1:34" ht="20.100000000000001" customHeight="1">
      <c r="A65" s="142" t="s">
        <v>752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33"/>
      <c r="M65" s="33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8"/>
      <c r="AB65" s="39"/>
      <c r="AC65" s="141"/>
      <c r="AD65" s="34"/>
      <c r="AE65" s="79"/>
      <c r="AF65" s="34"/>
      <c r="AG65" s="121"/>
      <c r="AH65" s="18"/>
    </row>
    <row r="66" spans="1:34" ht="20.100000000000001" customHeight="1">
      <c r="A66" s="36" t="s">
        <v>751</v>
      </c>
      <c r="B66" s="35"/>
      <c r="C66" s="35"/>
      <c r="D66" s="35"/>
      <c r="E66" s="35"/>
      <c r="F66" s="35"/>
      <c r="G66" s="35"/>
      <c r="H66" s="35"/>
      <c r="I66" s="35">
        <v>1.74</v>
      </c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8"/>
      <c r="AB66" s="39"/>
      <c r="AC66" s="51"/>
      <c r="AD66" s="34"/>
      <c r="AE66" s="79"/>
      <c r="AF66" s="34"/>
      <c r="AG66" s="121"/>
      <c r="AH66" s="16"/>
    </row>
    <row r="67" spans="1:34" ht="20.100000000000001" customHeight="1">
      <c r="A67" s="36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02"/>
      <c r="W67" s="302"/>
      <c r="X67" s="302"/>
      <c r="Y67" s="33"/>
      <c r="Z67" s="33"/>
      <c r="AA67" s="32"/>
      <c r="AB67" s="39"/>
      <c r="AC67" s="139"/>
      <c r="AD67" s="34"/>
      <c r="AE67" s="79"/>
      <c r="AF67" s="34"/>
      <c r="AG67" s="121"/>
      <c r="AH67" s="16"/>
    </row>
    <row r="68" spans="1:34" ht="20.100000000000001" customHeight="1">
      <c r="A68" s="36" t="s">
        <v>717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8"/>
      <c r="AB68" s="39"/>
      <c r="AC68" s="51"/>
      <c r="AD68" s="34"/>
      <c r="AE68" s="79"/>
      <c r="AF68" s="34"/>
      <c r="AG68" s="133"/>
      <c r="AH68" s="16"/>
    </row>
    <row r="69" spans="1:34" ht="20.100000000000001" customHeight="1">
      <c r="A69" s="36" t="s">
        <v>792</v>
      </c>
      <c r="B69" s="35"/>
      <c r="C69" s="35">
        <v>138989</v>
      </c>
      <c r="D69" s="35" t="s">
        <v>708</v>
      </c>
      <c r="E69" s="35" t="s">
        <v>791</v>
      </c>
      <c r="F69" s="33">
        <v>1.74</v>
      </c>
      <c r="G69" s="33" t="s">
        <v>779</v>
      </c>
      <c r="H69" s="33">
        <f>+ROUND(138989*1/8/1.74,1)</f>
        <v>9984.7999999999993</v>
      </c>
      <c r="I69" s="33"/>
      <c r="J69" s="33"/>
      <c r="K69" s="33"/>
      <c r="L69" s="33"/>
      <c r="M69" s="35"/>
      <c r="N69" s="303"/>
      <c r="O69" s="303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8"/>
      <c r="AB69" s="39"/>
      <c r="AC69" s="139"/>
      <c r="AD69" s="34">
        <f>+H69</f>
        <v>9984.7999999999993</v>
      </c>
      <c r="AE69" s="79"/>
      <c r="AF69" s="34"/>
      <c r="AG69" s="133">
        <f>SUM(AD69)</f>
        <v>9984.7999999999993</v>
      </c>
      <c r="AH69" s="18"/>
    </row>
    <row r="70" spans="1:34" ht="20.100000000000001" customHeight="1">
      <c r="A70" s="36" t="s">
        <v>750</v>
      </c>
      <c r="B70" s="35"/>
      <c r="C70" s="35"/>
      <c r="D70" s="35"/>
      <c r="E70" s="50"/>
      <c r="F70" s="35"/>
      <c r="G70" s="35"/>
      <c r="H70" s="35"/>
      <c r="I70" s="35"/>
      <c r="J70" s="35"/>
      <c r="K70" s="110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8"/>
      <c r="AB70" s="98"/>
      <c r="AC70" s="113"/>
      <c r="AD70" s="95">
        <f>SUM(AD69)</f>
        <v>9984.7999999999993</v>
      </c>
      <c r="AE70" s="96"/>
      <c r="AF70" s="95"/>
      <c r="AG70" s="122">
        <f>SUM(AG69)</f>
        <v>9984.7999999999993</v>
      </c>
      <c r="AH70" s="93"/>
    </row>
    <row r="71" spans="1:34" ht="20.100000000000001" customHeight="1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8"/>
      <c r="AB71" s="39"/>
      <c r="AC71" s="51"/>
      <c r="AD71" s="34"/>
      <c r="AE71" s="79"/>
      <c r="AF71" s="34"/>
      <c r="AG71" s="121"/>
      <c r="AH71" s="16"/>
    </row>
    <row r="72" spans="1:34" ht="20.100000000000001" customHeight="1">
      <c r="A72" s="291" t="s">
        <v>523</v>
      </c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8"/>
      <c r="AB72" s="39"/>
      <c r="AC72" s="140"/>
      <c r="AD72" s="34"/>
      <c r="AE72" s="79"/>
      <c r="AF72" s="34"/>
      <c r="AG72" s="121"/>
      <c r="AH72" s="16"/>
    </row>
    <row r="73" spans="1:34" ht="20.100000000000001" customHeight="1">
      <c r="A73" s="36" t="s">
        <v>734</v>
      </c>
      <c r="B73" s="35"/>
      <c r="C73" s="35"/>
      <c r="D73" s="35"/>
      <c r="E73" s="35"/>
      <c r="F73" s="35">
        <v>1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8"/>
      <c r="AB73" s="39"/>
      <c r="AC73" s="111"/>
      <c r="AD73" s="34"/>
      <c r="AE73" s="79"/>
      <c r="AF73" s="34"/>
      <c r="AG73" s="121"/>
      <c r="AH73" s="18"/>
    </row>
    <row r="74" spans="1:34" ht="20.100000000000001" customHeight="1">
      <c r="A74" s="36" t="s">
        <v>749</v>
      </c>
      <c r="B74" s="33"/>
      <c r="C74" s="33"/>
      <c r="D74" s="33"/>
      <c r="E74" s="33"/>
      <c r="F74" s="33">
        <v>0.45</v>
      </c>
      <c r="G74" s="33"/>
      <c r="H74" s="33"/>
      <c r="I74" s="33"/>
      <c r="J74" s="33"/>
      <c r="K74" s="33"/>
      <c r="L74" s="33"/>
      <c r="M74" s="301"/>
      <c r="N74" s="301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2"/>
      <c r="AB74" s="39"/>
      <c r="AC74" s="52"/>
      <c r="AD74" s="34"/>
      <c r="AE74" s="79"/>
      <c r="AF74" s="34"/>
      <c r="AG74" s="121"/>
      <c r="AH74" s="30"/>
    </row>
    <row r="75" spans="1:34" ht="20.100000000000001" customHeight="1">
      <c r="A75" s="36" t="s">
        <v>732</v>
      </c>
      <c r="B75" s="35"/>
      <c r="C75" s="33"/>
      <c r="D75" s="33"/>
      <c r="E75" s="33"/>
      <c r="F75" s="33">
        <v>0.1</v>
      </c>
      <c r="G75" s="33"/>
      <c r="H75" s="33"/>
      <c r="I75" s="33"/>
      <c r="J75" s="33"/>
      <c r="K75" s="33"/>
      <c r="L75" s="33"/>
      <c r="M75" s="33"/>
      <c r="N75" s="304"/>
      <c r="O75" s="304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2"/>
      <c r="AB75" s="39"/>
      <c r="AC75" s="139"/>
      <c r="AD75" s="34"/>
      <c r="AE75" s="79"/>
      <c r="AF75" s="34"/>
      <c r="AG75" s="121"/>
      <c r="AH75" s="16"/>
    </row>
    <row r="76" spans="1:34" ht="20.100000000000001" customHeight="1">
      <c r="A76" s="36" t="s">
        <v>748</v>
      </c>
      <c r="B76" s="35"/>
      <c r="C76" s="35"/>
      <c r="D76" s="35"/>
      <c r="E76" s="35"/>
      <c r="F76" s="35"/>
      <c r="G76" s="35"/>
      <c r="H76" s="35"/>
      <c r="I76" s="35">
        <v>0.6</v>
      </c>
      <c r="J76" s="35"/>
      <c r="K76" s="35"/>
      <c r="L76" s="35"/>
      <c r="M76" s="35"/>
      <c r="N76" s="35"/>
      <c r="O76" s="35"/>
      <c r="P76" s="35"/>
      <c r="Q76" s="303"/>
      <c r="R76" s="303"/>
      <c r="S76" s="35"/>
      <c r="T76" s="35"/>
      <c r="U76" s="35"/>
      <c r="V76" s="35"/>
      <c r="W76" s="35"/>
      <c r="X76" s="35"/>
      <c r="Y76" s="35"/>
      <c r="Z76" s="35"/>
      <c r="AA76" s="38"/>
      <c r="AB76" s="39"/>
      <c r="AC76" s="51"/>
      <c r="AD76" s="34"/>
      <c r="AE76" s="79"/>
      <c r="AF76" s="34"/>
      <c r="AG76" s="121"/>
      <c r="AH76" s="16"/>
    </row>
    <row r="77" spans="1:34" ht="20.100000000000001" customHeight="1">
      <c r="A77" s="36" t="s">
        <v>726</v>
      </c>
      <c r="B77" s="35"/>
      <c r="C77" s="35"/>
      <c r="D77" s="35"/>
      <c r="E77" s="35"/>
      <c r="F77" s="35">
        <v>1.25</v>
      </c>
      <c r="G77" s="33"/>
      <c r="H77" s="33"/>
      <c r="I77" s="35"/>
      <c r="J77" s="33"/>
      <c r="K77" s="35"/>
      <c r="L77" s="35"/>
      <c r="M77" s="303"/>
      <c r="N77" s="303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8"/>
      <c r="AB77" s="39"/>
      <c r="AC77" s="51"/>
      <c r="AD77" s="34"/>
      <c r="AE77" s="79"/>
      <c r="AF77" s="34"/>
      <c r="AG77" s="121"/>
      <c r="AH77" s="16"/>
    </row>
    <row r="78" spans="1:34" ht="20.100000000000001" customHeight="1">
      <c r="A78" s="36" t="s">
        <v>747</v>
      </c>
      <c r="B78" s="35"/>
      <c r="C78" s="35"/>
      <c r="D78" s="35"/>
      <c r="E78" s="35"/>
      <c r="F78" s="35"/>
      <c r="G78" s="35">
        <v>1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8"/>
      <c r="AB78" s="39"/>
      <c r="AC78" s="51"/>
      <c r="AD78" s="34"/>
      <c r="AE78" s="79"/>
      <c r="AF78" s="34"/>
      <c r="AG78" s="121"/>
      <c r="AH78" s="16"/>
    </row>
    <row r="79" spans="1:34" ht="20.100000000000001" customHeight="1">
      <c r="A79" s="36" t="s">
        <v>746</v>
      </c>
      <c r="B79" s="33"/>
      <c r="C79" s="33"/>
      <c r="D79" s="80"/>
      <c r="E79" s="80"/>
      <c r="F79" s="64">
        <v>3</v>
      </c>
      <c r="G79" s="305"/>
      <c r="H79" s="306"/>
      <c r="I79" s="64"/>
      <c r="J79" s="307"/>
      <c r="K79" s="307"/>
      <c r="L79" s="307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2"/>
      <c r="AB79" s="39"/>
      <c r="AC79" s="52"/>
      <c r="AD79" s="34"/>
      <c r="AE79" s="79"/>
      <c r="AF79" s="34"/>
      <c r="AG79" s="121"/>
      <c r="AH79" s="16"/>
    </row>
    <row r="80" spans="1:34" ht="20.100000000000001" customHeight="1">
      <c r="A80" s="36" t="s">
        <v>745</v>
      </c>
      <c r="B80" s="33"/>
      <c r="C80" s="138"/>
      <c r="D80" s="72"/>
      <c r="E80" s="72"/>
      <c r="F80" s="137"/>
      <c r="G80" s="78"/>
      <c r="H80" s="77"/>
      <c r="I80" s="64"/>
      <c r="J80" s="308">
        <f>+ROUND(1000*F73*F74*F75*I76*G78/F79/0.7,2)</f>
        <v>12.86</v>
      </c>
      <c r="K80" s="308"/>
      <c r="L80" s="308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2"/>
      <c r="AB80" s="39"/>
      <c r="AC80" s="52"/>
      <c r="AD80" s="34"/>
      <c r="AE80" s="79"/>
      <c r="AF80" s="34"/>
      <c r="AG80" s="121"/>
      <c r="AH80" s="16"/>
    </row>
    <row r="81" spans="1:34" ht="20.100000000000001" customHeight="1">
      <c r="A81" s="36" t="s">
        <v>744</v>
      </c>
      <c r="B81" s="33"/>
      <c r="C81" s="33">
        <v>1438</v>
      </c>
      <c r="D81" s="64" t="s">
        <v>773</v>
      </c>
      <c r="E81" s="136">
        <f>+J80</f>
        <v>12.86</v>
      </c>
      <c r="F81" s="64" t="s">
        <v>707</v>
      </c>
      <c r="G81" s="109">
        <f>+ROUND(C81/E81,1)</f>
        <v>111.8</v>
      </c>
      <c r="H81" s="77"/>
      <c r="I81" s="64"/>
      <c r="J81" s="307"/>
      <c r="K81" s="307"/>
      <c r="L81" s="307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2"/>
      <c r="AB81" s="34">
        <f>+G81</f>
        <v>111.8</v>
      </c>
      <c r="AC81" s="52"/>
      <c r="AD81" s="34"/>
      <c r="AE81" s="79"/>
      <c r="AF81" s="34"/>
      <c r="AG81" s="133">
        <f>SUM(AB81)</f>
        <v>111.8</v>
      </c>
      <c r="AH81" s="16"/>
    </row>
    <row r="82" spans="1:34" ht="20.100000000000001" customHeight="1">
      <c r="A82" s="36" t="s">
        <v>782</v>
      </c>
      <c r="B82" s="33"/>
      <c r="C82" s="33">
        <v>28744</v>
      </c>
      <c r="D82" s="64" t="s">
        <v>712</v>
      </c>
      <c r="E82" s="69">
        <f>+J80</f>
        <v>12.86</v>
      </c>
      <c r="F82" s="99" t="s">
        <v>707</v>
      </c>
      <c r="G82" s="135">
        <f>+ROUND(C82/E82,0)</f>
        <v>2235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2"/>
      <c r="AB82" s="39"/>
      <c r="AC82" s="51"/>
      <c r="AD82" s="34">
        <f>+G82</f>
        <v>2235</v>
      </c>
      <c r="AE82" s="79"/>
      <c r="AF82" s="34"/>
      <c r="AG82" s="121">
        <f>SUM(AD82)</f>
        <v>2235</v>
      </c>
      <c r="AH82" s="16"/>
    </row>
    <row r="83" spans="1:34" ht="20.100000000000001" customHeight="1">
      <c r="A83" s="36" t="s">
        <v>778</v>
      </c>
      <c r="B83" s="35"/>
      <c r="C83" s="35">
        <v>529</v>
      </c>
      <c r="D83" s="64" t="s">
        <v>773</v>
      </c>
      <c r="E83" s="134">
        <f>+J80</f>
        <v>12.86</v>
      </c>
      <c r="F83" s="99" t="s">
        <v>707</v>
      </c>
      <c r="G83" s="33">
        <f>+ROUND(C83/E83,1)</f>
        <v>41.1</v>
      </c>
      <c r="H83" s="33"/>
      <c r="I83" s="33"/>
      <c r="J83" s="33"/>
      <c r="K83" s="33"/>
      <c r="L83" s="33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8"/>
      <c r="AB83" s="39"/>
      <c r="AC83" s="51"/>
      <c r="AD83" s="34"/>
      <c r="AE83" s="79"/>
      <c r="AF83" s="34">
        <f>+G83</f>
        <v>41.1</v>
      </c>
      <c r="AG83" s="133">
        <f>SUM(AF83)</f>
        <v>41.1</v>
      </c>
      <c r="AH83" s="16"/>
    </row>
    <row r="84" spans="1:34" ht="20.100000000000001" customHeight="1">
      <c r="A84" s="36" t="s">
        <v>706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8"/>
      <c r="AB84" s="95">
        <f>SUM(AB81)</f>
        <v>111.8</v>
      </c>
      <c r="AC84" s="113"/>
      <c r="AD84" s="95">
        <f>SUM(AD82)</f>
        <v>2235</v>
      </c>
      <c r="AE84" s="96"/>
      <c r="AF84" s="95">
        <f>SUM(AF83)</f>
        <v>41.1</v>
      </c>
      <c r="AG84" s="122">
        <f>SUM(AG81:AG83)</f>
        <v>2387.9</v>
      </c>
      <c r="AH84" s="93"/>
    </row>
    <row r="85" spans="1:34" ht="20.100000000000001" customHeight="1">
      <c r="A85" s="59" t="s">
        <v>790</v>
      </c>
      <c r="B85" s="90"/>
      <c r="C85" s="90"/>
      <c r="D85" s="132"/>
      <c r="E85" s="132"/>
      <c r="F85" s="92"/>
      <c r="G85" s="131"/>
      <c r="H85" s="130"/>
      <c r="I85" s="92"/>
      <c r="J85" s="91"/>
      <c r="K85" s="91"/>
      <c r="L85" s="91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89"/>
      <c r="AB85" s="84">
        <f>+TRUNC(AB63+AB84,0)</f>
        <v>266</v>
      </c>
      <c r="AC85" s="87"/>
      <c r="AD85" s="86">
        <f>+TRUNC(AD63+AD70+AD84,0)</f>
        <v>12756</v>
      </c>
      <c r="AE85" s="85"/>
      <c r="AF85" s="86">
        <f>+TRUNC(AF63+AF84,0)</f>
        <v>228</v>
      </c>
      <c r="AG85" s="129">
        <f>+TRUNC(AG63+AG70+AG84-1,0)</f>
        <v>13250</v>
      </c>
      <c r="AH85" s="82"/>
    </row>
    <row r="86" spans="1:34" ht="20.100000000000001" customHeight="1">
      <c r="A86" s="104" t="s">
        <v>743</v>
      </c>
      <c r="B86" s="33"/>
      <c r="C86" s="33"/>
      <c r="D86" s="80"/>
      <c r="E86" s="80"/>
      <c r="F86" s="64"/>
      <c r="G86" s="78"/>
      <c r="H86" s="77"/>
      <c r="I86" s="64"/>
      <c r="J86" s="81"/>
      <c r="K86" s="81"/>
      <c r="L86" s="81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2"/>
      <c r="AB86" s="39"/>
      <c r="AC86" s="52"/>
      <c r="AD86" s="34"/>
      <c r="AE86" s="79"/>
      <c r="AF86" s="34"/>
      <c r="AG86" s="60"/>
      <c r="AH86" s="16"/>
    </row>
    <row r="87" spans="1:34" ht="21" customHeight="1">
      <c r="A87" s="128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33"/>
      <c r="Y87" s="33"/>
      <c r="Z87" s="33"/>
      <c r="AA87" s="32"/>
      <c r="AB87" s="39"/>
      <c r="AC87" s="52"/>
      <c r="AD87" s="34"/>
      <c r="AE87" s="79"/>
      <c r="AF87" s="34"/>
      <c r="AG87" s="60"/>
      <c r="AH87" s="16"/>
    </row>
    <row r="88" spans="1:34" ht="20.100000000000001" customHeight="1">
      <c r="A88" s="36" t="s">
        <v>729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2"/>
      <c r="AB88" s="39"/>
      <c r="AC88" s="51"/>
      <c r="AD88" s="34"/>
      <c r="AE88" s="79"/>
      <c r="AF88" s="34"/>
      <c r="AG88" s="60"/>
      <c r="AH88" s="16"/>
    </row>
    <row r="89" spans="1:34" ht="20.100000000000001" customHeight="1">
      <c r="A89" s="36" t="s">
        <v>728</v>
      </c>
      <c r="B89" s="35"/>
      <c r="C89" s="35"/>
      <c r="D89" s="35"/>
      <c r="E89" s="35">
        <v>0.4</v>
      </c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8"/>
      <c r="AB89" s="39"/>
      <c r="AC89" s="119"/>
      <c r="AD89" s="34"/>
      <c r="AE89" s="79"/>
      <c r="AF89" s="34"/>
      <c r="AG89" s="60"/>
      <c r="AH89" s="118"/>
    </row>
    <row r="90" spans="1:34" ht="20.100000000000001" customHeight="1">
      <c r="A90" s="36" t="s">
        <v>742</v>
      </c>
      <c r="B90" s="35"/>
      <c r="C90" s="35"/>
      <c r="D90" s="35"/>
      <c r="E90" s="35">
        <v>1.1000000000000001</v>
      </c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8"/>
      <c r="AB90" s="39"/>
      <c r="AC90" s="51"/>
      <c r="AD90" s="34"/>
      <c r="AE90" s="79"/>
      <c r="AF90" s="34"/>
      <c r="AG90" s="60"/>
      <c r="AH90" s="16"/>
    </row>
    <row r="91" spans="1:34" ht="20.100000000000001" customHeight="1">
      <c r="A91" s="36" t="s">
        <v>741</v>
      </c>
      <c r="B91" s="35"/>
      <c r="C91" s="35"/>
      <c r="D91" s="35"/>
      <c r="E91" s="35">
        <v>1.25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8"/>
      <c r="AB91" s="39"/>
      <c r="AC91" s="51"/>
      <c r="AD91" s="34"/>
      <c r="AE91" s="79"/>
      <c r="AF91" s="34"/>
      <c r="AG91" s="60"/>
      <c r="AH91" s="16"/>
    </row>
    <row r="92" spans="1:34" ht="20.100000000000001" customHeight="1">
      <c r="A92" s="36" t="s">
        <v>725</v>
      </c>
      <c r="B92" s="35"/>
      <c r="C92" s="35"/>
      <c r="D92" s="35"/>
      <c r="E92" s="35">
        <v>0.875</v>
      </c>
      <c r="F92" s="33"/>
      <c r="G92" s="35"/>
      <c r="H92" s="35"/>
      <c r="I92" s="35"/>
      <c r="J92" s="35"/>
      <c r="K92" s="124"/>
      <c r="L92" s="124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8"/>
      <c r="AB92" s="39"/>
      <c r="AC92" s="51"/>
      <c r="AD92" s="34"/>
      <c r="AE92" s="79"/>
      <c r="AF92" s="34"/>
      <c r="AG92" s="60"/>
      <c r="AH92" s="16"/>
    </row>
    <row r="93" spans="1:34" ht="20.100000000000001" customHeight="1">
      <c r="A93" s="36" t="s">
        <v>740</v>
      </c>
      <c r="B93" s="35"/>
      <c r="C93" s="35"/>
      <c r="D93" s="35"/>
      <c r="E93" s="35"/>
      <c r="F93" s="35">
        <v>0.7</v>
      </c>
      <c r="G93" s="35"/>
      <c r="H93" s="35"/>
      <c r="I93" s="33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8"/>
      <c r="AB93" s="39"/>
      <c r="AC93" s="51"/>
      <c r="AD93" s="34"/>
      <c r="AE93" s="79"/>
      <c r="AF93" s="34"/>
      <c r="AG93" s="60"/>
      <c r="AH93" s="16"/>
    </row>
    <row r="94" spans="1:34" ht="20.100000000000001" customHeight="1">
      <c r="A94" s="36" t="s">
        <v>723</v>
      </c>
      <c r="B94" s="35"/>
      <c r="C94" s="35"/>
      <c r="D94" s="35"/>
      <c r="E94" s="35"/>
      <c r="F94" s="35"/>
      <c r="G94" s="35"/>
      <c r="H94" s="64">
        <v>0.75</v>
      </c>
      <c r="I94" s="301"/>
      <c r="J94" s="301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8"/>
      <c r="AB94" s="39"/>
      <c r="AC94" s="51"/>
      <c r="AD94" s="34"/>
      <c r="AE94" s="79"/>
      <c r="AF94" s="34"/>
      <c r="AG94" s="60"/>
      <c r="AH94" s="16"/>
    </row>
    <row r="95" spans="1:34" ht="20.100000000000001" customHeight="1">
      <c r="A95" s="36" t="s">
        <v>739</v>
      </c>
      <c r="B95" s="35"/>
      <c r="C95" s="35"/>
      <c r="D95" s="35"/>
      <c r="E95" s="33"/>
      <c r="F95" s="35"/>
      <c r="G95" s="64">
        <v>15</v>
      </c>
      <c r="H95" s="303"/>
      <c r="I95" s="303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8"/>
      <c r="AB95" s="39"/>
      <c r="AC95" s="51"/>
      <c r="AD95" s="34"/>
      <c r="AE95" s="79"/>
      <c r="AF95" s="34"/>
      <c r="AG95" s="60"/>
      <c r="AH95" s="16"/>
    </row>
    <row r="96" spans="1:34" ht="20.100000000000001" customHeight="1">
      <c r="A96" s="36" t="s">
        <v>738</v>
      </c>
      <c r="B96" s="35"/>
      <c r="C96" s="35"/>
      <c r="D96" s="35"/>
      <c r="E96" s="35"/>
      <c r="F96" s="35"/>
      <c r="G96" s="35"/>
      <c r="H96" s="35"/>
      <c r="I96" s="35"/>
      <c r="J96" s="33">
        <f>+ROUND(3600*E89*E90*F93*H94/G95/0.8,1)</f>
        <v>69.3</v>
      </c>
      <c r="K96" s="35"/>
      <c r="L96" s="35"/>
      <c r="M96" s="35"/>
      <c r="N96" s="303"/>
      <c r="O96" s="303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8"/>
      <c r="AB96" s="39"/>
      <c r="AC96" s="51"/>
      <c r="AD96" s="34"/>
      <c r="AE96" s="79"/>
      <c r="AF96" s="34"/>
      <c r="AG96" s="60"/>
      <c r="AH96" s="16"/>
    </row>
    <row r="97" spans="1:34" ht="20.100000000000001" customHeight="1">
      <c r="A97" s="36"/>
      <c r="B97" s="35"/>
      <c r="C97" s="35"/>
      <c r="D97" s="35"/>
      <c r="E97" s="35"/>
      <c r="F97" s="35"/>
      <c r="G97" s="35"/>
      <c r="H97" s="303"/>
      <c r="I97" s="303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8"/>
      <c r="AB97" s="39"/>
      <c r="AC97" s="51"/>
      <c r="AD97" s="34"/>
      <c r="AE97" s="79"/>
      <c r="AF97" s="34"/>
      <c r="AG97" s="60"/>
      <c r="AH97" s="16"/>
    </row>
    <row r="98" spans="1:34" ht="20.100000000000001" customHeight="1">
      <c r="A98" s="36" t="s">
        <v>720</v>
      </c>
      <c r="B98" s="35"/>
      <c r="C98" s="35">
        <v>12283</v>
      </c>
      <c r="D98" s="64" t="s">
        <v>712</v>
      </c>
      <c r="E98" s="64">
        <f>+J96</f>
        <v>69.3</v>
      </c>
      <c r="F98" s="35" t="s">
        <v>707</v>
      </c>
      <c r="G98" s="35">
        <f>+ROUND(C98/E98-0.1,1)</f>
        <v>177.1</v>
      </c>
      <c r="H98" s="35"/>
      <c r="I98" s="33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8"/>
      <c r="AB98" s="39">
        <f>+G98</f>
        <v>177.1</v>
      </c>
      <c r="AC98" s="51"/>
      <c r="AD98" s="34"/>
      <c r="AE98" s="79"/>
      <c r="AF98" s="34"/>
      <c r="AG98" s="60">
        <f>SUM(AB98)</f>
        <v>177.1</v>
      </c>
      <c r="AH98" s="16"/>
    </row>
    <row r="99" spans="1:34" ht="20.100000000000001" customHeight="1">
      <c r="A99" s="36" t="s">
        <v>716</v>
      </c>
      <c r="B99" s="35"/>
      <c r="C99" s="35">
        <v>42474</v>
      </c>
      <c r="D99" s="64" t="s">
        <v>712</v>
      </c>
      <c r="E99" s="64">
        <f>+J96</f>
        <v>69.3</v>
      </c>
      <c r="F99" s="35" t="s">
        <v>771</v>
      </c>
      <c r="G99" s="35">
        <f>+ROUND(C99/E99,1)</f>
        <v>612.9</v>
      </c>
      <c r="H99" s="35"/>
      <c r="I99" s="35"/>
      <c r="J99" s="33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8"/>
      <c r="AB99" s="39"/>
      <c r="AC99" s="51"/>
      <c r="AD99" s="34">
        <f>+G99</f>
        <v>612.9</v>
      </c>
      <c r="AE99" s="79"/>
      <c r="AF99" s="34"/>
      <c r="AG99" s="60">
        <f>SUM(AD99)</f>
        <v>612.9</v>
      </c>
      <c r="AH99" s="16"/>
    </row>
    <row r="100" spans="1:34" ht="20.100000000000001" customHeight="1">
      <c r="A100" s="36" t="s">
        <v>778</v>
      </c>
      <c r="B100" s="35"/>
      <c r="C100" s="35">
        <v>14872</v>
      </c>
      <c r="D100" s="127" t="s">
        <v>777</v>
      </c>
      <c r="E100" s="126">
        <f>+J96</f>
        <v>69.3</v>
      </c>
      <c r="F100" s="125" t="s">
        <v>707</v>
      </c>
      <c r="G100" s="64">
        <f>+ROUND(C100/E100,1)</f>
        <v>214.6</v>
      </c>
      <c r="H100" s="64"/>
      <c r="I100" s="64"/>
      <c r="J100" s="99"/>
      <c r="K100" s="64"/>
      <c r="L100" s="124"/>
      <c r="M100" s="35"/>
      <c r="N100" s="64"/>
      <c r="O100" s="62"/>
      <c r="P100" s="309"/>
      <c r="Q100" s="309"/>
      <c r="R100" s="309"/>
      <c r="S100" s="35"/>
      <c r="T100" s="35"/>
      <c r="U100" s="35"/>
      <c r="V100" s="35"/>
      <c r="W100" s="35"/>
      <c r="X100" s="35"/>
      <c r="Y100" s="35"/>
      <c r="Z100" s="35"/>
      <c r="AA100" s="38"/>
      <c r="AB100" s="39"/>
      <c r="AC100" s="120"/>
      <c r="AD100" s="34"/>
      <c r="AE100" s="79"/>
      <c r="AF100" s="34">
        <f>+G100</f>
        <v>214.6</v>
      </c>
      <c r="AG100" s="60">
        <f>SUM(AF100)</f>
        <v>214.6</v>
      </c>
      <c r="AH100" s="16"/>
    </row>
    <row r="101" spans="1:34" ht="20.100000000000001" customHeight="1">
      <c r="A101" s="36" t="s">
        <v>789</v>
      </c>
      <c r="B101" s="35"/>
      <c r="C101" s="35"/>
      <c r="D101" s="35"/>
      <c r="E101" s="35"/>
      <c r="F101" s="35"/>
      <c r="G101" s="35"/>
      <c r="H101" s="35"/>
      <c r="I101" s="33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8"/>
      <c r="AB101" s="98">
        <f>SUM(AB98)</f>
        <v>177.1</v>
      </c>
      <c r="AC101" s="123"/>
      <c r="AD101" s="95">
        <f>SUM(AD99)</f>
        <v>612.9</v>
      </c>
      <c r="AE101" s="96"/>
      <c r="AF101" s="95">
        <f>SUM(AF100)</f>
        <v>214.6</v>
      </c>
      <c r="AG101" s="122">
        <f>SUM(AG98:AG100)</f>
        <v>1004.6</v>
      </c>
      <c r="AH101" s="93"/>
    </row>
    <row r="102" spans="1:34" ht="20.100000000000001" customHeight="1">
      <c r="A102" s="36"/>
      <c r="B102" s="33"/>
      <c r="C102" s="33"/>
      <c r="D102" s="303"/>
      <c r="E102" s="303"/>
      <c r="F102" s="64"/>
      <c r="G102" s="305"/>
      <c r="H102" s="306"/>
      <c r="I102" s="64"/>
      <c r="J102" s="307"/>
      <c r="K102" s="307"/>
      <c r="L102" s="307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2"/>
      <c r="AB102" s="39"/>
      <c r="AC102" s="52"/>
      <c r="AD102" s="34"/>
      <c r="AE102" s="79"/>
      <c r="AF102" s="34"/>
      <c r="AG102" s="121"/>
      <c r="AH102" s="16"/>
    </row>
    <row r="103" spans="1:34" ht="20.100000000000001" customHeight="1">
      <c r="A103" s="36" t="s">
        <v>737</v>
      </c>
      <c r="B103" s="33"/>
      <c r="C103" s="33"/>
      <c r="D103" s="80"/>
      <c r="E103" s="80"/>
      <c r="F103" s="64"/>
      <c r="G103" s="78"/>
      <c r="H103" s="77"/>
      <c r="I103" s="64"/>
      <c r="J103" s="307"/>
      <c r="K103" s="307"/>
      <c r="L103" s="307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2"/>
      <c r="AB103" s="39"/>
      <c r="AC103" s="52"/>
      <c r="AD103" s="34"/>
      <c r="AE103" s="79"/>
      <c r="AF103" s="34"/>
      <c r="AG103" s="60"/>
      <c r="AH103" s="16"/>
    </row>
    <row r="104" spans="1:34" ht="20.100000000000001" customHeight="1">
      <c r="A104" s="36" t="s">
        <v>736</v>
      </c>
      <c r="B104" s="33"/>
      <c r="C104" s="33"/>
      <c r="D104" s="80"/>
      <c r="E104" s="80"/>
      <c r="F104" s="64"/>
      <c r="G104" s="78"/>
      <c r="H104" s="77"/>
      <c r="I104" s="64">
        <v>2.6</v>
      </c>
      <c r="J104" s="307"/>
      <c r="K104" s="307"/>
      <c r="L104" s="307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2"/>
      <c r="AB104" s="39"/>
      <c r="AC104" s="52"/>
      <c r="AD104" s="34"/>
      <c r="AE104" s="79"/>
      <c r="AF104" s="34"/>
      <c r="AG104" s="60"/>
      <c r="AH104" s="16"/>
    </row>
    <row r="105" spans="1:34" ht="20.100000000000001" customHeight="1">
      <c r="A105" s="36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2"/>
      <c r="AB105" s="39"/>
      <c r="AC105" s="51"/>
      <c r="AD105" s="34"/>
      <c r="AE105" s="79"/>
      <c r="AF105" s="34"/>
      <c r="AG105" s="60"/>
      <c r="AH105" s="16"/>
    </row>
    <row r="106" spans="1:34" ht="20.100000000000001" customHeight="1">
      <c r="A106" s="36" t="s">
        <v>717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8"/>
      <c r="AB106" s="39"/>
      <c r="AC106" s="120"/>
      <c r="AD106" s="34"/>
      <c r="AE106" s="79"/>
      <c r="AF106" s="34"/>
      <c r="AG106" s="60"/>
      <c r="AH106" s="16"/>
    </row>
    <row r="107" spans="1:34" ht="20.100000000000001" customHeight="1">
      <c r="A107" s="36" t="s">
        <v>782</v>
      </c>
      <c r="B107" s="35"/>
      <c r="C107" s="35">
        <v>138989</v>
      </c>
      <c r="D107" s="64" t="s">
        <v>708</v>
      </c>
      <c r="E107" s="35" t="s">
        <v>788</v>
      </c>
      <c r="F107" s="110" t="s">
        <v>771</v>
      </c>
      <c r="G107" s="35">
        <f>+ROUND(C107*1/8/2.6-0.1,1)</f>
        <v>6682.1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8"/>
      <c r="AB107" s="39"/>
      <c r="AC107" s="119"/>
      <c r="AD107" s="34">
        <f>+G107</f>
        <v>6682.1</v>
      </c>
      <c r="AE107" s="79"/>
      <c r="AF107" s="34"/>
      <c r="AG107" s="60">
        <f>SUM(AD107)</f>
        <v>6682.1</v>
      </c>
      <c r="AH107" s="118"/>
    </row>
    <row r="108" spans="1:34" ht="20.100000000000001" customHeight="1">
      <c r="A108" s="36" t="s">
        <v>787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2"/>
      <c r="AB108" s="98"/>
      <c r="AC108" s="97"/>
      <c r="AD108" s="95">
        <f>SUM(AD107)</f>
        <v>6682.1</v>
      </c>
      <c r="AE108" s="96"/>
      <c r="AF108" s="95"/>
      <c r="AG108" s="94">
        <f>SUM(AG107)</f>
        <v>6682.1</v>
      </c>
      <c r="AH108" s="97"/>
    </row>
    <row r="109" spans="1:34" ht="20.100000000000001" customHeight="1">
      <c r="A109" s="36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2"/>
      <c r="AB109" s="39"/>
      <c r="AC109" s="52"/>
      <c r="AD109" s="34"/>
      <c r="AE109" s="79"/>
      <c r="AF109" s="34"/>
      <c r="AG109" s="60"/>
      <c r="AH109" s="30"/>
    </row>
    <row r="110" spans="1:34" ht="20.100000000000001" customHeight="1">
      <c r="A110" s="36" t="s">
        <v>735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2"/>
      <c r="AB110" s="39"/>
      <c r="AC110" s="52"/>
      <c r="AD110" s="34"/>
      <c r="AE110" s="79"/>
      <c r="AF110" s="34"/>
      <c r="AG110" s="60"/>
      <c r="AH110" s="30"/>
    </row>
    <row r="111" spans="1:34" ht="20.100000000000001" customHeight="1">
      <c r="A111" s="36" t="s">
        <v>734</v>
      </c>
      <c r="B111" s="33"/>
      <c r="C111" s="33"/>
      <c r="D111" s="33"/>
      <c r="E111" s="33"/>
      <c r="F111" s="33">
        <v>1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2"/>
      <c r="AB111" s="39"/>
      <c r="AC111" s="52"/>
      <c r="AD111" s="34"/>
      <c r="AE111" s="79"/>
      <c r="AF111" s="34"/>
      <c r="AG111" s="60"/>
      <c r="AH111" s="30"/>
    </row>
    <row r="112" spans="1:34" ht="20.100000000000001" customHeight="1">
      <c r="A112" s="36" t="s">
        <v>733</v>
      </c>
      <c r="B112" s="35"/>
      <c r="C112" s="33"/>
      <c r="D112" s="33"/>
      <c r="E112" s="33"/>
      <c r="F112" s="33">
        <v>0.45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2"/>
      <c r="AB112" s="39"/>
      <c r="AC112" s="52"/>
      <c r="AD112" s="34"/>
      <c r="AE112" s="79"/>
      <c r="AF112" s="34"/>
      <c r="AG112" s="60"/>
      <c r="AH112" s="30"/>
    </row>
    <row r="113" spans="1:34" ht="20.100000000000001" customHeight="1">
      <c r="A113" s="36" t="s">
        <v>732</v>
      </c>
      <c r="B113" s="33"/>
      <c r="C113" s="33"/>
      <c r="D113" s="33"/>
      <c r="E113" s="33">
        <v>0.1</v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5"/>
      <c r="Q113" s="35"/>
      <c r="R113" s="33"/>
      <c r="S113" s="33"/>
      <c r="T113" s="33"/>
      <c r="U113" s="33"/>
      <c r="V113" s="33"/>
      <c r="W113" s="33"/>
      <c r="X113" s="33"/>
      <c r="Y113" s="33"/>
      <c r="Z113" s="33"/>
      <c r="AA113" s="32"/>
      <c r="AB113" s="39"/>
      <c r="AC113" s="52"/>
      <c r="AD113" s="34"/>
      <c r="AE113" s="79"/>
      <c r="AF113" s="34"/>
      <c r="AG113" s="60"/>
      <c r="AH113" s="30"/>
    </row>
    <row r="114" spans="1:34" ht="20.100000000000001" customHeight="1">
      <c r="A114" s="36" t="s">
        <v>786</v>
      </c>
      <c r="B114" s="33"/>
      <c r="C114" s="33"/>
      <c r="D114" s="33"/>
      <c r="E114" s="33"/>
      <c r="F114" s="33"/>
      <c r="G114" s="33"/>
      <c r="H114" s="33">
        <v>0.6</v>
      </c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2"/>
      <c r="AB114" s="39"/>
      <c r="AC114" s="52"/>
      <c r="AD114" s="34"/>
      <c r="AE114" s="79"/>
      <c r="AF114" s="34"/>
      <c r="AG114" s="60"/>
      <c r="AH114" s="30"/>
    </row>
    <row r="115" spans="1:34" ht="20.100000000000001" customHeight="1">
      <c r="A115" s="36" t="s">
        <v>726</v>
      </c>
      <c r="B115" s="33"/>
      <c r="C115" s="33"/>
      <c r="D115" s="33"/>
      <c r="E115" s="33"/>
      <c r="F115" s="33">
        <v>1.25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2"/>
      <c r="AB115" s="39"/>
      <c r="AC115" s="52"/>
      <c r="AD115" s="34"/>
      <c r="AE115" s="79"/>
      <c r="AF115" s="34"/>
      <c r="AG115" s="60"/>
      <c r="AH115" s="30"/>
    </row>
    <row r="116" spans="1:34" ht="20.100000000000001" customHeight="1">
      <c r="A116" s="36" t="s">
        <v>785</v>
      </c>
      <c r="B116" s="33"/>
      <c r="C116" s="33"/>
      <c r="D116" s="33"/>
      <c r="E116" s="33"/>
      <c r="F116" s="33"/>
      <c r="G116" s="108">
        <v>1</v>
      </c>
      <c r="H116" s="33"/>
      <c r="I116" s="33"/>
      <c r="J116" s="33"/>
      <c r="K116" s="33"/>
      <c r="L116" s="33"/>
      <c r="M116" s="33"/>
      <c r="N116" s="69"/>
      <c r="O116" s="69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2"/>
      <c r="AB116" s="39"/>
      <c r="AC116" s="52"/>
      <c r="AD116" s="34"/>
      <c r="AE116" s="79"/>
      <c r="AF116" s="34"/>
      <c r="AG116" s="60"/>
      <c r="AH116" s="30"/>
    </row>
    <row r="117" spans="1:34" ht="20.100000000000001" customHeight="1">
      <c r="A117" s="36" t="s">
        <v>731</v>
      </c>
      <c r="B117" s="33"/>
      <c r="C117" s="33"/>
      <c r="D117" s="33"/>
      <c r="E117" s="33"/>
      <c r="F117" s="108">
        <v>3</v>
      </c>
      <c r="G117" s="33"/>
      <c r="H117" s="33"/>
      <c r="I117" s="33"/>
      <c r="J117" s="33"/>
      <c r="K117" s="33"/>
      <c r="L117" s="35"/>
      <c r="M117" s="35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2"/>
      <c r="AB117" s="39"/>
      <c r="AC117" s="52"/>
      <c r="AD117" s="34"/>
      <c r="AE117" s="79"/>
      <c r="AF117" s="34"/>
      <c r="AG117" s="60"/>
      <c r="AH117" s="30"/>
    </row>
    <row r="118" spans="1:34" ht="20.100000000000001" customHeight="1">
      <c r="A118" s="36" t="s">
        <v>730</v>
      </c>
      <c r="B118" s="35"/>
      <c r="C118" s="33"/>
      <c r="D118" s="33"/>
      <c r="E118" s="33"/>
      <c r="F118" s="33"/>
      <c r="G118" s="33"/>
      <c r="H118" s="33"/>
      <c r="I118" s="33"/>
      <c r="J118" s="117">
        <f>+ROUND(1000*F111*F112*E113*H114*G116/F117/0.8,2)</f>
        <v>11.25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2"/>
      <c r="AB118" s="39"/>
      <c r="AC118" s="52"/>
      <c r="AD118" s="34"/>
      <c r="AE118" s="79"/>
      <c r="AF118" s="34"/>
      <c r="AG118" s="60"/>
      <c r="AH118" s="30"/>
    </row>
    <row r="119" spans="1:34" ht="20.100000000000001" customHeight="1">
      <c r="A119" s="36" t="s">
        <v>784</v>
      </c>
      <c r="B119" s="33"/>
      <c r="C119" s="33">
        <v>1438</v>
      </c>
      <c r="D119" s="64" t="s">
        <v>783</v>
      </c>
      <c r="E119" s="116">
        <f>+J118</f>
        <v>11.25</v>
      </c>
      <c r="F119" s="33" t="s">
        <v>771</v>
      </c>
      <c r="G119" s="108">
        <f>+ROUND(C119/E119,1)</f>
        <v>127.8</v>
      </c>
      <c r="H119" s="33"/>
      <c r="I119" s="33"/>
      <c r="J119" s="33"/>
      <c r="K119" s="33"/>
      <c r="L119" s="35"/>
      <c r="M119" s="35"/>
      <c r="N119" s="33"/>
      <c r="O119" s="70"/>
      <c r="P119" s="70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2"/>
      <c r="AB119" s="39">
        <f>+G119</f>
        <v>127.8</v>
      </c>
      <c r="AC119" s="52"/>
      <c r="AD119" s="34"/>
      <c r="AE119" s="79"/>
      <c r="AF119" s="34"/>
      <c r="AG119" s="60">
        <f>SUM(AB119)</f>
        <v>127.8</v>
      </c>
      <c r="AH119" s="30"/>
    </row>
    <row r="120" spans="1:34" ht="20.100000000000001" customHeight="1">
      <c r="A120" s="36" t="s">
        <v>782</v>
      </c>
      <c r="B120" s="35"/>
      <c r="C120" s="35">
        <v>28744</v>
      </c>
      <c r="D120" s="64" t="s">
        <v>712</v>
      </c>
      <c r="E120" s="114">
        <f>+J118</f>
        <v>11.25</v>
      </c>
      <c r="F120" s="33" t="s">
        <v>707</v>
      </c>
      <c r="G120" s="300">
        <f>+ROUND(C120/E120,1)</f>
        <v>2555</v>
      </c>
      <c r="H120" s="300"/>
      <c r="I120" s="33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115"/>
      <c r="W120" s="115"/>
      <c r="X120" s="115"/>
      <c r="Y120" s="35"/>
      <c r="Z120" s="35"/>
      <c r="AA120" s="38"/>
      <c r="AB120" s="39"/>
      <c r="AC120" s="51"/>
      <c r="AD120" s="34">
        <f>+G120</f>
        <v>2555</v>
      </c>
      <c r="AE120" s="79"/>
      <c r="AF120" s="34"/>
      <c r="AG120" s="60">
        <f>SUM(AD120)</f>
        <v>2555</v>
      </c>
      <c r="AH120" s="16"/>
    </row>
    <row r="121" spans="1:34" ht="20.100000000000001" customHeight="1">
      <c r="A121" s="36" t="s">
        <v>774</v>
      </c>
      <c r="B121" s="35"/>
      <c r="C121" s="35">
        <v>529</v>
      </c>
      <c r="D121" s="64" t="s">
        <v>773</v>
      </c>
      <c r="E121" s="114">
        <f>+J118</f>
        <v>11.25</v>
      </c>
      <c r="F121" s="33" t="s">
        <v>779</v>
      </c>
      <c r="G121" s="110">
        <f>+ROUND(C121/E121,1)</f>
        <v>47</v>
      </c>
      <c r="H121" s="35"/>
      <c r="I121" s="33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8"/>
      <c r="AB121" s="39"/>
      <c r="AC121" s="51"/>
      <c r="AD121" s="34"/>
      <c r="AE121" s="79"/>
      <c r="AF121" s="34">
        <f>+G121</f>
        <v>47</v>
      </c>
      <c r="AG121" s="60">
        <f>SUM(AF121)</f>
        <v>47</v>
      </c>
      <c r="AH121" s="16"/>
    </row>
    <row r="122" spans="1:34" ht="20.100000000000001" customHeight="1">
      <c r="A122" s="36" t="s">
        <v>781</v>
      </c>
      <c r="B122" s="35"/>
      <c r="C122" s="35"/>
      <c r="D122" s="64"/>
      <c r="E122" s="64"/>
      <c r="F122" s="33"/>
      <c r="G122" s="35"/>
      <c r="H122" s="35"/>
      <c r="I122" s="33"/>
      <c r="J122" s="33"/>
      <c r="K122" s="35"/>
      <c r="L122" s="35"/>
      <c r="M122" s="308"/>
      <c r="N122" s="308"/>
      <c r="O122" s="308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8"/>
      <c r="AB122" s="98">
        <f>SUM(AB119)</f>
        <v>127.8</v>
      </c>
      <c r="AC122" s="113"/>
      <c r="AD122" s="95">
        <f>SUM(AD120)</f>
        <v>2555</v>
      </c>
      <c r="AE122" s="96"/>
      <c r="AF122" s="95">
        <f>SUM(AF121)</f>
        <v>47</v>
      </c>
      <c r="AG122" s="94">
        <f>SUM(AG119:AG121)</f>
        <v>2729.8</v>
      </c>
      <c r="AH122" s="93"/>
    </row>
    <row r="123" spans="1:34" ht="20.100000000000001" customHeight="1">
      <c r="A123" s="59" t="s">
        <v>780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7"/>
      <c r="AB123" s="88">
        <f>+ROUND(AB101+AB122,0)</f>
        <v>305</v>
      </c>
      <c r="AC123" s="112"/>
      <c r="AD123" s="84">
        <f>+ROUND(AD101+AD108+AD122-0.6,1)</f>
        <v>9849.4</v>
      </c>
      <c r="AE123" s="85"/>
      <c r="AF123" s="84">
        <f>+ROUND(AF101+AF122-0.6,1)</f>
        <v>261</v>
      </c>
      <c r="AG123" s="83">
        <f>SUM(AB123:AF123)</f>
        <v>10415.4</v>
      </c>
      <c r="AH123" s="82"/>
    </row>
    <row r="124" spans="1:34" ht="20.100000000000001" customHeight="1">
      <c r="A124" s="104" t="s">
        <v>526</v>
      </c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8"/>
      <c r="AB124" s="39"/>
      <c r="AC124" s="51"/>
      <c r="AD124" s="34"/>
      <c r="AE124" s="79"/>
      <c r="AF124" s="34"/>
      <c r="AG124" s="60"/>
      <c r="AH124" s="16"/>
    </row>
    <row r="125" spans="1:34" ht="20.100000000000001" customHeight="1">
      <c r="A125" s="36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8"/>
      <c r="AB125" s="39"/>
      <c r="AC125" s="111"/>
      <c r="AD125" s="34"/>
      <c r="AE125" s="79"/>
      <c r="AF125" s="34"/>
      <c r="AG125" s="60"/>
      <c r="AH125" s="18"/>
    </row>
    <row r="126" spans="1:34" ht="20.100000000000001" customHeight="1">
      <c r="A126" s="36" t="s">
        <v>729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01"/>
      <c r="N126" s="301"/>
      <c r="O126" s="33"/>
      <c r="P126" s="33"/>
      <c r="Q126" s="71"/>
      <c r="R126" s="71"/>
      <c r="S126" s="71"/>
      <c r="T126" s="33"/>
      <c r="U126" s="33"/>
      <c r="V126" s="33"/>
      <c r="W126" s="33"/>
      <c r="X126" s="33"/>
      <c r="Y126" s="33"/>
      <c r="Z126" s="33"/>
      <c r="AA126" s="32"/>
      <c r="AB126" s="39"/>
      <c r="AC126" s="52"/>
      <c r="AD126" s="34"/>
      <c r="AE126" s="79"/>
      <c r="AF126" s="34"/>
      <c r="AG126" s="60"/>
      <c r="AH126" s="30"/>
    </row>
    <row r="127" spans="1:34" ht="20.100000000000001" customHeight="1">
      <c r="A127" s="36" t="s">
        <v>728</v>
      </c>
      <c r="B127" s="33"/>
      <c r="C127" s="33"/>
      <c r="D127" s="33"/>
      <c r="E127" s="33">
        <v>0.4</v>
      </c>
      <c r="F127" s="33"/>
      <c r="G127" s="33"/>
      <c r="H127" s="33"/>
      <c r="I127" s="33"/>
      <c r="J127" s="33"/>
      <c r="K127" s="33"/>
      <c r="L127" s="33"/>
      <c r="M127" s="71"/>
      <c r="N127" s="310"/>
      <c r="O127" s="310"/>
      <c r="P127" s="310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2"/>
      <c r="AB127" s="39"/>
      <c r="AC127" s="52"/>
      <c r="AD127" s="34"/>
      <c r="AE127" s="79"/>
      <c r="AF127" s="34"/>
      <c r="AG127" s="60"/>
      <c r="AH127" s="30"/>
    </row>
    <row r="128" spans="1:34" ht="20.100000000000001" customHeight="1">
      <c r="A128" s="36" t="s">
        <v>727</v>
      </c>
      <c r="B128" s="33"/>
      <c r="C128" s="33"/>
      <c r="D128" s="35"/>
      <c r="E128" s="35"/>
      <c r="F128" s="110">
        <v>1.1000000000000001</v>
      </c>
      <c r="G128" s="78"/>
      <c r="H128" s="77"/>
      <c r="I128" s="64"/>
      <c r="J128" s="62"/>
      <c r="K128" s="62"/>
      <c r="L128" s="62"/>
      <c r="M128" s="33"/>
      <c r="N128" s="310"/>
      <c r="O128" s="310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2"/>
      <c r="AB128" s="39"/>
      <c r="AC128" s="52"/>
      <c r="AD128" s="34"/>
      <c r="AE128" s="79"/>
      <c r="AF128" s="34"/>
      <c r="AG128" s="60"/>
      <c r="AH128" s="30"/>
    </row>
    <row r="129" spans="1:34" ht="20.100000000000001" customHeight="1">
      <c r="A129" s="36" t="s">
        <v>726</v>
      </c>
      <c r="B129" s="33"/>
      <c r="C129" s="33"/>
      <c r="D129" s="35"/>
      <c r="E129" s="35"/>
      <c r="F129" s="110">
        <v>1.25</v>
      </c>
      <c r="G129" s="78"/>
      <c r="H129" s="77"/>
      <c r="I129" s="64"/>
      <c r="J129" s="62"/>
      <c r="K129" s="62"/>
      <c r="L129" s="62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2"/>
      <c r="AB129" s="39"/>
      <c r="AC129" s="52"/>
      <c r="AD129" s="34"/>
      <c r="AE129" s="79"/>
      <c r="AF129" s="34"/>
      <c r="AG129" s="60"/>
      <c r="AH129" s="30"/>
    </row>
    <row r="130" spans="1:34" ht="20.100000000000001" customHeight="1">
      <c r="A130" s="36" t="s">
        <v>725</v>
      </c>
      <c r="B130" s="33"/>
      <c r="C130" s="33"/>
      <c r="D130" s="35"/>
      <c r="E130" s="35">
        <v>0.875</v>
      </c>
      <c r="F130" s="64"/>
      <c r="G130" s="78"/>
      <c r="H130" s="77"/>
      <c r="I130" s="64"/>
      <c r="J130" s="62"/>
      <c r="K130" s="62"/>
      <c r="L130" s="62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2"/>
      <c r="AB130" s="39"/>
      <c r="AC130" s="52"/>
      <c r="AD130" s="34"/>
      <c r="AE130" s="79"/>
      <c r="AF130" s="34"/>
      <c r="AG130" s="60"/>
      <c r="AH130" s="30"/>
    </row>
    <row r="131" spans="1:34" ht="20.100000000000001" customHeight="1">
      <c r="A131" s="36" t="s">
        <v>724</v>
      </c>
      <c r="B131" s="33"/>
      <c r="C131" s="33"/>
      <c r="D131" s="33"/>
      <c r="E131" s="33"/>
      <c r="F131" s="33">
        <v>0.7</v>
      </c>
      <c r="G131" s="301"/>
      <c r="H131" s="301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2"/>
      <c r="AB131" s="39"/>
      <c r="AC131" s="51"/>
      <c r="AD131" s="34"/>
      <c r="AE131" s="79"/>
      <c r="AF131" s="34"/>
      <c r="AG131" s="60"/>
      <c r="AH131" s="30"/>
    </row>
    <row r="132" spans="1:34" ht="20.100000000000001" customHeight="1">
      <c r="A132" s="36" t="s">
        <v>723</v>
      </c>
      <c r="B132" s="35"/>
      <c r="C132" s="33"/>
      <c r="D132" s="33"/>
      <c r="E132" s="33"/>
      <c r="F132" s="33"/>
      <c r="G132" s="33"/>
      <c r="H132" s="33"/>
      <c r="I132" s="33">
        <v>0.75</v>
      </c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2"/>
      <c r="AB132" s="39"/>
      <c r="AC132" s="52"/>
      <c r="AD132" s="34"/>
      <c r="AE132" s="79"/>
      <c r="AF132" s="34"/>
      <c r="AG132" s="60"/>
      <c r="AH132" s="30"/>
    </row>
    <row r="133" spans="1:34" ht="20.100000000000001" customHeight="1">
      <c r="A133" s="36" t="s">
        <v>722</v>
      </c>
      <c r="B133" s="33"/>
      <c r="C133" s="33"/>
      <c r="D133" s="33"/>
      <c r="E133" s="33"/>
      <c r="F133" s="33"/>
      <c r="G133" s="108">
        <v>15</v>
      </c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2"/>
      <c r="AB133" s="39"/>
      <c r="AC133" s="52"/>
      <c r="AD133" s="34"/>
      <c r="AE133" s="79"/>
      <c r="AF133" s="34"/>
      <c r="AG133" s="60"/>
      <c r="AH133" s="30"/>
    </row>
    <row r="134" spans="1:34" ht="20.100000000000001" customHeight="1">
      <c r="A134" s="36" t="s">
        <v>721</v>
      </c>
      <c r="B134" s="33"/>
      <c r="C134" s="33"/>
      <c r="D134" s="35"/>
      <c r="E134" s="35"/>
      <c r="F134" s="64"/>
      <c r="G134" s="78"/>
      <c r="H134" s="78"/>
      <c r="I134" s="64"/>
      <c r="J134" s="62">
        <f>+ROUND(3600*E127*F128*F131*I132/G133/0.8,1)</f>
        <v>69.3</v>
      </c>
      <c r="K134" s="62"/>
      <c r="L134" s="62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2"/>
      <c r="AB134" s="39"/>
      <c r="AC134" s="52"/>
      <c r="AD134" s="34"/>
      <c r="AE134" s="79"/>
      <c r="AF134" s="34"/>
      <c r="AG134" s="60"/>
      <c r="AH134" s="30"/>
    </row>
    <row r="135" spans="1:34" ht="20.100000000000001" customHeight="1">
      <c r="A135" s="36"/>
      <c r="B135" s="33"/>
      <c r="C135" s="33"/>
      <c r="D135" s="35"/>
      <c r="E135" s="35"/>
      <c r="F135" s="64"/>
      <c r="G135" s="78"/>
      <c r="H135" s="77"/>
      <c r="I135" s="64"/>
      <c r="J135" s="62"/>
      <c r="K135" s="62"/>
      <c r="L135" s="62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2"/>
      <c r="AB135" s="39"/>
      <c r="AC135" s="52"/>
      <c r="AD135" s="34"/>
      <c r="AE135" s="79"/>
      <c r="AF135" s="34"/>
      <c r="AG135" s="60"/>
      <c r="AH135" s="30"/>
    </row>
    <row r="136" spans="1:34" ht="20.100000000000001" customHeight="1">
      <c r="A136" s="36" t="s">
        <v>720</v>
      </c>
      <c r="B136" s="33"/>
      <c r="C136" s="33">
        <v>12283</v>
      </c>
      <c r="D136" s="64" t="s">
        <v>712</v>
      </c>
      <c r="E136" s="62">
        <f>+J134</f>
        <v>69.3</v>
      </c>
      <c r="F136" s="64" t="s">
        <v>779</v>
      </c>
      <c r="G136" s="109">
        <f>+ROUND(C136/E136-0.1,1)</f>
        <v>177.1</v>
      </c>
      <c r="H136" s="77"/>
      <c r="I136" s="64"/>
      <c r="J136" s="62"/>
      <c r="K136" s="62"/>
      <c r="L136" s="62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2"/>
      <c r="AB136" s="34">
        <f>+G136</f>
        <v>177.1</v>
      </c>
      <c r="AC136" s="52"/>
      <c r="AD136" s="34"/>
      <c r="AE136" s="79"/>
      <c r="AF136" s="34"/>
      <c r="AG136" s="60">
        <f>SUM(AB136)</f>
        <v>177.1</v>
      </c>
      <c r="AH136" s="30"/>
    </row>
    <row r="137" spans="1:34" ht="20.100000000000001" customHeight="1">
      <c r="A137" s="36" t="s">
        <v>716</v>
      </c>
      <c r="B137" s="33"/>
      <c r="C137" s="33">
        <v>42474</v>
      </c>
      <c r="D137" s="64" t="s">
        <v>773</v>
      </c>
      <c r="E137" s="107">
        <f>+J134</f>
        <v>69.3</v>
      </c>
      <c r="F137" s="64" t="s">
        <v>771</v>
      </c>
      <c r="G137" s="108">
        <f>+ROUND(C137/E137,1)</f>
        <v>612.9</v>
      </c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2"/>
      <c r="AB137" s="39"/>
      <c r="AC137" s="51"/>
      <c r="AD137" s="34">
        <f>+G137</f>
        <v>612.9</v>
      </c>
      <c r="AE137" s="79"/>
      <c r="AF137" s="34"/>
      <c r="AG137" s="60">
        <f>SUM(AD137)</f>
        <v>612.9</v>
      </c>
      <c r="AH137" s="30"/>
    </row>
    <row r="138" spans="1:34" ht="20.100000000000001" customHeight="1">
      <c r="A138" s="36" t="s">
        <v>778</v>
      </c>
      <c r="B138" s="33"/>
      <c r="C138" s="33">
        <v>14872</v>
      </c>
      <c r="D138" s="64" t="s">
        <v>777</v>
      </c>
      <c r="E138" s="107">
        <f>+J134</f>
        <v>69.3</v>
      </c>
      <c r="F138" s="64" t="s">
        <v>771</v>
      </c>
      <c r="G138" s="33">
        <f>+ROUND(C138/E138,1)</f>
        <v>214.6</v>
      </c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2"/>
      <c r="AB138" s="39"/>
      <c r="AC138" s="52"/>
      <c r="AD138" s="34"/>
      <c r="AE138" s="79"/>
      <c r="AF138" s="34">
        <f>+G138</f>
        <v>214.6</v>
      </c>
      <c r="AG138" s="60">
        <f>SUM(AF138)</f>
        <v>214.6</v>
      </c>
      <c r="AH138" s="30"/>
    </row>
    <row r="139" spans="1:34" ht="20.100000000000001" customHeight="1">
      <c r="A139" s="36" t="s">
        <v>706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2"/>
      <c r="AB139" s="95">
        <f>SUM(AB136)</f>
        <v>177.1</v>
      </c>
      <c r="AC139" s="106"/>
      <c r="AD139" s="95">
        <f>SUM(AD137)</f>
        <v>612.9</v>
      </c>
      <c r="AE139" s="96"/>
      <c r="AF139" s="95">
        <f>SUM(AF138)</f>
        <v>214.6</v>
      </c>
      <c r="AG139" s="94">
        <f>SUM(AG136:AG138)</f>
        <v>1004.6</v>
      </c>
      <c r="AH139" s="97"/>
    </row>
    <row r="140" spans="1:34" ht="20.100000000000001" customHeight="1">
      <c r="A140" s="36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2"/>
      <c r="AB140" s="39"/>
      <c r="AC140" s="52"/>
      <c r="AD140" s="34"/>
      <c r="AE140" s="79"/>
      <c r="AF140" s="34"/>
      <c r="AG140" s="60"/>
      <c r="AH140" s="30"/>
    </row>
    <row r="141" spans="1:34" ht="20.100000000000001" customHeight="1">
      <c r="A141" s="36" t="s">
        <v>719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2"/>
      <c r="AB141" s="39"/>
      <c r="AC141" s="52"/>
      <c r="AD141" s="34"/>
      <c r="AE141" s="79"/>
      <c r="AF141" s="34"/>
      <c r="AG141" s="60"/>
      <c r="AH141" s="30"/>
    </row>
    <row r="142" spans="1:34" ht="20.100000000000001" customHeight="1">
      <c r="A142" s="36" t="s">
        <v>718</v>
      </c>
      <c r="B142" s="33"/>
      <c r="C142" s="33"/>
      <c r="D142" s="33"/>
      <c r="E142" s="33"/>
      <c r="F142" s="33"/>
      <c r="G142" s="33"/>
      <c r="H142" s="33"/>
      <c r="I142" s="33">
        <v>3.13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2"/>
      <c r="AB142" s="39"/>
      <c r="AC142" s="52"/>
      <c r="AD142" s="34"/>
      <c r="AE142" s="79"/>
      <c r="AF142" s="34"/>
      <c r="AG142" s="60"/>
      <c r="AH142" s="30"/>
    </row>
    <row r="143" spans="1:34" ht="20.100000000000001" customHeight="1">
      <c r="A143" s="36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2"/>
      <c r="AB143" s="39"/>
      <c r="AC143" s="52"/>
      <c r="AD143" s="34"/>
      <c r="AE143" s="79"/>
      <c r="AF143" s="34"/>
      <c r="AG143" s="60"/>
      <c r="AH143" s="30"/>
    </row>
    <row r="144" spans="1:34" ht="20.100000000000001" customHeight="1">
      <c r="A144" s="36" t="s">
        <v>717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2"/>
      <c r="AB144" s="39"/>
      <c r="AC144" s="52"/>
      <c r="AD144" s="34"/>
      <c r="AE144" s="79"/>
      <c r="AF144" s="34"/>
      <c r="AG144" s="60"/>
      <c r="AH144" s="30"/>
    </row>
    <row r="145" spans="1:34" ht="20.100000000000001" customHeight="1">
      <c r="A145" s="36" t="s">
        <v>716</v>
      </c>
      <c r="B145" s="33"/>
      <c r="C145" s="33">
        <v>138989</v>
      </c>
      <c r="D145" s="33" t="s">
        <v>772</v>
      </c>
      <c r="E145" s="33" t="s">
        <v>776</v>
      </c>
      <c r="F145" s="33"/>
      <c r="G145" s="99" t="s">
        <v>707</v>
      </c>
      <c r="H145" s="33">
        <f>+ROUND(C145*1/8/3.13-0.1,1)</f>
        <v>5550.6</v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2"/>
      <c r="AB145" s="39"/>
      <c r="AC145" s="52"/>
      <c r="AD145" s="34">
        <f>+H145</f>
        <v>5550.6</v>
      </c>
      <c r="AE145" s="79"/>
      <c r="AF145" s="34"/>
      <c r="AG145" s="60">
        <f>SUM(AD145)</f>
        <v>5550.6</v>
      </c>
      <c r="AH145" s="30"/>
    </row>
    <row r="146" spans="1:34" ht="20.100000000000001" customHeight="1">
      <c r="A146" s="36" t="s">
        <v>775</v>
      </c>
      <c r="B146" s="33"/>
      <c r="C146" s="33"/>
      <c r="D146" s="33"/>
      <c r="E146" s="33"/>
      <c r="F146" s="33"/>
      <c r="G146" s="33"/>
      <c r="H146" s="33"/>
      <c r="I146" s="33"/>
      <c r="J146" s="301"/>
      <c r="K146" s="301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2"/>
      <c r="AB146" s="98"/>
      <c r="AC146" s="97"/>
      <c r="AD146" s="95">
        <f>SUM(AD145)</f>
        <v>5550.6</v>
      </c>
      <c r="AE146" s="96"/>
      <c r="AF146" s="95"/>
      <c r="AG146" s="94">
        <f>SUM(AG145)</f>
        <v>5550.6</v>
      </c>
      <c r="AH146" s="97"/>
    </row>
    <row r="147" spans="1:34" ht="20.100000000000001" customHeight="1">
      <c r="A147" s="59" t="s">
        <v>770</v>
      </c>
      <c r="B147" s="90"/>
      <c r="C147" s="90"/>
      <c r="D147" s="90"/>
      <c r="E147" s="90"/>
      <c r="F147" s="90"/>
      <c r="G147" s="90"/>
      <c r="H147" s="105"/>
      <c r="I147" s="105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89"/>
      <c r="AB147" s="84">
        <f>+ROUND(AB139,0)</f>
        <v>177</v>
      </c>
      <c r="AC147" s="87"/>
      <c r="AD147" s="84">
        <f>+ROUND(AD139+AD146-1,0)</f>
        <v>6163</v>
      </c>
      <c r="AE147" s="85"/>
      <c r="AF147" s="84">
        <f>+ROUND(AF139-1,0)</f>
        <v>214</v>
      </c>
      <c r="AG147" s="83">
        <f>+ROUND(AG139+AG146-1,0)</f>
        <v>6554</v>
      </c>
      <c r="AH147" s="87"/>
    </row>
    <row r="148" spans="1:34" ht="20.100000000000001" customHeight="1">
      <c r="A148" s="104" t="s">
        <v>528</v>
      </c>
      <c r="B148" s="103"/>
      <c r="C148" s="102"/>
      <c r="D148" s="102"/>
      <c r="E148" s="102"/>
      <c r="F148" s="102"/>
      <c r="G148" s="102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101"/>
      <c r="W148" s="101"/>
      <c r="X148" s="101"/>
      <c r="Y148" s="33"/>
      <c r="Z148" s="33"/>
      <c r="AA148" s="32"/>
      <c r="AB148" s="39"/>
      <c r="AC148" s="52"/>
      <c r="AD148" s="34"/>
      <c r="AE148" s="79"/>
      <c r="AF148" s="34"/>
      <c r="AG148" s="60"/>
      <c r="AH148" s="30"/>
    </row>
    <row r="149" spans="1:34" ht="20.100000000000001" customHeight="1">
      <c r="A149" s="36"/>
      <c r="B149" s="33"/>
      <c r="C149" s="33"/>
      <c r="D149" s="33"/>
      <c r="E149" s="33"/>
      <c r="F149" s="33"/>
      <c r="G149" s="33"/>
      <c r="H149" s="75"/>
      <c r="I149" s="75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2"/>
      <c r="AB149" s="39"/>
      <c r="AC149" s="52"/>
      <c r="AD149" s="34"/>
      <c r="AE149" s="79"/>
      <c r="AF149" s="34"/>
      <c r="AG149" s="60"/>
      <c r="AH149" s="30"/>
    </row>
    <row r="150" spans="1:34" ht="20.100000000000001" customHeight="1">
      <c r="A150" s="36" t="s">
        <v>715</v>
      </c>
      <c r="B150" s="33"/>
      <c r="C150" s="33"/>
      <c r="D150" s="33"/>
      <c r="E150" s="33"/>
      <c r="F150" s="33"/>
      <c r="G150" s="33"/>
      <c r="H150" s="75"/>
      <c r="I150" s="75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2"/>
      <c r="AB150" s="39"/>
      <c r="AC150" s="52"/>
      <c r="AD150" s="34"/>
      <c r="AE150" s="79"/>
      <c r="AF150" s="34"/>
      <c r="AG150" s="60"/>
      <c r="AH150" s="30"/>
    </row>
    <row r="151" spans="1:34" ht="20.100000000000001" customHeight="1">
      <c r="A151" s="36" t="s">
        <v>714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01"/>
      <c r="L151" s="301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2"/>
      <c r="AB151" s="39"/>
      <c r="AC151" s="52"/>
      <c r="AD151" s="34"/>
      <c r="AE151" s="79"/>
      <c r="AF151" s="34"/>
      <c r="AG151" s="60"/>
      <c r="AH151" s="30"/>
    </row>
    <row r="152" spans="1:34" ht="20.100000000000001" customHeight="1">
      <c r="A152" s="36" t="s">
        <v>713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2"/>
      <c r="AB152" s="39"/>
      <c r="AC152" s="52"/>
      <c r="AD152" s="34"/>
      <c r="AE152" s="79"/>
      <c r="AF152" s="34"/>
      <c r="AG152" s="60"/>
      <c r="AH152" s="30"/>
    </row>
    <row r="153" spans="1:34" ht="20.100000000000001" customHeight="1">
      <c r="A153" s="36" t="s">
        <v>774</v>
      </c>
      <c r="B153" s="33"/>
      <c r="C153" s="33">
        <v>111240</v>
      </c>
      <c r="D153" s="50" t="s">
        <v>773</v>
      </c>
      <c r="E153" s="33" t="s">
        <v>711</v>
      </c>
      <c r="F153" s="33"/>
      <c r="G153" s="99" t="s">
        <v>707</v>
      </c>
      <c r="H153" s="33">
        <f>+ROUND(C153/1.1/10.5-0.1,1)</f>
        <v>9631.1</v>
      </c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2"/>
      <c r="AB153" s="39"/>
      <c r="AC153" s="52"/>
      <c r="AD153" s="34"/>
      <c r="AE153" s="79"/>
      <c r="AF153" s="34">
        <f>+H153</f>
        <v>9631.1</v>
      </c>
      <c r="AG153" s="60">
        <f>SUM(AF153)</f>
        <v>9631.1</v>
      </c>
      <c r="AH153" s="30"/>
    </row>
    <row r="154" spans="1:34" ht="20.100000000000001" customHeight="1">
      <c r="A154" s="36" t="s">
        <v>706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101"/>
      <c r="P154" s="101"/>
      <c r="Q154" s="101"/>
      <c r="R154" s="33"/>
      <c r="S154" s="33"/>
      <c r="T154" s="33"/>
      <c r="U154" s="33"/>
      <c r="V154" s="33"/>
      <c r="W154" s="33"/>
      <c r="X154" s="33"/>
      <c r="Y154" s="33"/>
      <c r="Z154" s="33"/>
      <c r="AA154" s="32"/>
      <c r="AB154" s="98"/>
      <c r="AC154" s="97"/>
      <c r="AD154" s="95"/>
      <c r="AE154" s="96"/>
      <c r="AF154" s="95">
        <f>SUM(AF153)</f>
        <v>9631.1</v>
      </c>
      <c r="AG154" s="94">
        <f>SUM(AG153)</f>
        <v>9631.1</v>
      </c>
      <c r="AH154" s="97"/>
    </row>
    <row r="155" spans="1:34" ht="20.100000000000001" customHeight="1">
      <c r="A155" s="36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100"/>
      <c r="N155" s="100"/>
      <c r="O155" s="100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2"/>
      <c r="AB155" s="39"/>
      <c r="AC155" s="52"/>
      <c r="AD155" s="34"/>
      <c r="AE155" s="79"/>
      <c r="AF155" s="34"/>
      <c r="AG155" s="60"/>
      <c r="AH155" s="30"/>
    </row>
    <row r="156" spans="1:34" ht="20.100000000000001" customHeight="1">
      <c r="A156" s="36" t="s">
        <v>710</v>
      </c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75"/>
      <c r="N156" s="75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2"/>
      <c r="AB156" s="39"/>
      <c r="AC156" s="52"/>
      <c r="AD156" s="34"/>
      <c r="AE156" s="79"/>
      <c r="AF156" s="34"/>
      <c r="AG156" s="60"/>
      <c r="AH156" s="30"/>
    </row>
    <row r="157" spans="1:34" ht="20.100000000000001" customHeight="1">
      <c r="A157" s="36" t="s">
        <v>709</v>
      </c>
      <c r="B157" s="33"/>
      <c r="C157" s="33">
        <v>4734</v>
      </c>
      <c r="D157" s="99" t="s">
        <v>772</v>
      </c>
      <c r="E157" s="99">
        <v>1</v>
      </c>
      <c r="F157" s="33" t="s">
        <v>771</v>
      </c>
      <c r="G157" s="33">
        <f>+C157*1</f>
        <v>4734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2"/>
      <c r="AB157" s="39"/>
      <c r="AC157" s="52"/>
      <c r="AD157" s="34"/>
      <c r="AE157" s="79"/>
      <c r="AF157" s="34">
        <f>+G157</f>
        <v>4734</v>
      </c>
      <c r="AG157" s="60">
        <f>SUM(AF157)</f>
        <v>4734</v>
      </c>
      <c r="AH157" s="30"/>
    </row>
    <row r="158" spans="1:34" ht="20.100000000000001" customHeight="1">
      <c r="A158" s="36" t="s">
        <v>706</v>
      </c>
      <c r="B158" s="33"/>
      <c r="C158" s="33"/>
      <c r="D158" s="303"/>
      <c r="E158" s="303"/>
      <c r="F158" s="64"/>
      <c r="G158" s="305"/>
      <c r="H158" s="306"/>
      <c r="I158" s="64"/>
      <c r="J158" s="62"/>
      <c r="K158" s="62"/>
      <c r="L158" s="81"/>
      <c r="M158" s="81"/>
      <c r="N158" s="81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2"/>
      <c r="AB158" s="98"/>
      <c r="AC158" s="97"/>
      <c r="AD158" s="95"/>
      <c r="AE158" s="96"/>
      <c r="AF158" s="95">
        <f>SUM(AF157)</f>
        <v>4734</v>
      </c>
      <c r="AG158" s="94">
        <f>SUM(AG157)</f>
        <v>4734</v>
      </c>
      <c r="AH158" s="93"/>
    </row>
    <row r="159" spans="1:34" ht="20.100000000000001" customHeight="1">
      <c r="A159" s="59" t="s">
        <v>770</v>
      </c>
      <c r="B159" s="90"/>
      <c r="C159" s="90"/>
      <c r="D159" s="311"/>
      <c r="E159" s="311"/>
      <c r="F159" s="92"/>
      <c r="G159" s="312"/>
      <c r="H159" s="313"/>
      <c r="I159" s="92"/>
      <c r="J159" s="91"/>
      <c r="K159" s="91"/>
      <c r="L159" s="91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89"/>
      <c r="AB159" s="88"/>
      <c r="AC159" s="87"/>
      <c r="AD159" s="86"/>
      <c r="AE159" s="85"/>
      <c r="AF159" s="84">
        <f>+ROUND(AF154+AF158,0)</f>
        <v>14365</v>
      </c>
      <c r="AG159" s="83">
        <f>+ROUND(AG154+AG158,0)</f>
        <v>14365</v>
      </c>
      <c r="AH159" s="82"/>
    </row>
    <row r="160" spans="1:34" ht="20.100000000000001" customHeight="1">
      <c r="A160" s="36"/>
      <c r="B160" s="33"/>
      <c r="C160" s="33"/>
      <c r="D160" s="80"/>
      <c r="E160" s="80"/>
      <c r="F160" s="64"/>
      <c r="G160" s="78"/>
      <c r="H160" s="77"/>
      <c r="I160" s="64"/>
      <c r="J160" s="81"/>
      <c r="K160" s="81"/>
      <c r="L160" s="81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2"/>
      <c r="AB160" s="39"/>
      <c r="AC160" s="52"/>
      <c r="AD160" s="34"/>
      <c r="AE160" s="79"/>
      <c r="AF160" s="34"/>
      <c r="AG160" s="60"/>
      <c r="AH160" s="16"/>
    </row>
    <row r="161" spans="1:34" ht="20.100000000000001" customHeight="1">
      <c r="A161" s="36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2"/>
      <c r="AB161" s="39"/>
      <c r="AC161" s="51"/>
      <c r="AD161" s="34"/>
      <c r="AE161" s="79"/>
      <c r="AF161" s="34"/>
      <c r="AG161" s="60"/>
      <c r="AH161" s="16"/>
    </row>
    <row r="162" spans="1:34" ht="20.100000000000001" customHeight="1">
      <c r="A162" s="36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2"/>
      <c r="AB162" s="39"/>
      <c r="AC162" s="52"/>
      <c r="AD162" s="34"/>
      <c r="AE162" s="79"/>
      <c r="AF162" s="34"/>
      <c r="AG162" s="60"/>
      <c r="AH162" s="30"/>
    </row>
    <row r="163" spans="1:34" ht="20.100000000000001" customHeight="1">
      <c r="A163" s="36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75"/>
      <c r="AC163" s="75"/>
      <c r="AD163" s="75"/>
      <c r="AE163" s="79"/>
      <c r="AF163" s="79"/>
      <c r="AG163" s="79"/>
      <c r="AH163" s="33"/>
    </row>
    <row r="164" spans="1:34" ht="20.100000000000001" customHeight="1">
      <c r="A164" s="36"/>
      <c r="B164" s="35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75"/>
      <c r="AC164" s="75"/>
      <c r="AD164" s="75"/>
      <c r="AE164" s="79"/>
      <c r="AF164" s="79"/>
      <c r="AG164" s="79"/>
      <c r="AH164" s="33"/>
    </row>
    <row r="165" spans="1:34" ht="20.100000000000001" customHeight="1">
      <c r="A165" s="36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5"/>
      <c r="M165" s="35"/>
      <c r="N165" s="33"/>
      <c r="O165" s="70"/>
      <c r="P165" s="70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75"/>
      <c r="AC165" s="75"/>
      <c r="AD165" s="75"/>
      <c r="AE165" s="79"/>
      <c r="AF165" s="79"/>
      <c r="AG165" s="79"/>
      <c r="AH165" s="33"/>
    </row>
    <row r="166" spans="1:34" ht="20.100000000000001" customHeight="1">
      <c r="A166" s="36"/>
      <c r="B166" s="35"/>
      <c r="C166" s="35"/>
      <c r="D166" s="64"/>
      <c r="E166" s="64"/>
      <c r="F166" s="33"/>
      <c r="G166" s="80"/>
      <c r="H166" s="80"/>
      <c r="I166" s="33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3"/>
      <c r="V166" s="33"/>
      <c r="W166" s="33"/>
      <c r="X166" s="33"/>
      <c r="Y166" s="33"/>
      <c r="Z166" s="33"/>
      <c r="AA166" s="33"/>
      <c r="AB166" s="75"/>
      <c r="AC166" s="75"/>
      <c r="AD166" s="75"/>
      <c r="AE166" s="79"/>
      <c r="AF166" s="79"/>
      <c r="AG166" s="79"/>
      <c r="AH166" s="33"/>
    </row>
    <row r="167" spans="1:34" ht="20.100000000000001" customHeight="1">
      <c r="A167" s="36"/>
      <c r="B167" s="35"/>
      <c r="C167" s="35"/>
      <c r="D167" s="64"/>
      <c r="E167" s="64"/>
      <c r="F167" s="33"/>
      <c r="G167" s="35"/>
      <c r="H167" s="35"/>
      <c r="I167" s="33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3"/>
      <c r="V167" s="33"/>
      <c r="W167" s="33"/>
      <c r="X167" s="33"/>
      <c r="Y167" s="33"/>
      <c r="Z167" s="33"/>
      <c r="AA167" s="33"/>
      <c r="AB167" s="75"/>
      <c r="AC167" s="75"/>
      <c r="AD167" s="75"/>
      <c r="AE167" s="79"/>
      <c r="AF167" s="79"/>
      <c r="AG167" s="79"/>
      <c r="AH167" s="33"/>
    </row>
    <row r="168" spans="1:34" ht="20.100000000000001" customHeight="1">
      <c r="A168" s="36"/>
      <c r="B168" s="35"/>
      <c r="C168" s="35"/>
      <c r="D168" s="64"/>
      <c r="E168" s="64"/>
      <c r="F168" s="33"/>
      <c r="G168" s="35"/>
      <c r="H168" s="35"/>
      <c r="I168" s="33"/>
      <c r="J168" s="33"/>
      <c r="K168" s="35"/>
      <c r="L168" s="35"/>
      <c r="M168" s="308"/>
      <c r="N168" s="308"/>
      <c r="O168" s="308"/>
      <c r="P168" s="35"/>
      <c r="Q168" s="35"/>
      <c r="R168" s="35"/>
      <c r="S168" s="35"/>
      <c r="T168" s="35"/>
      <c r="U168" s="33"/>
      <c r="V168" s="33"/>
      <c r="W168" s="33"/>
      <c r="X168" s="33"/>
      <c r="Y168" s="33"/>
      <c r="Z168" s="33"/>
      <c r="AA168" s="33"/>
      <c r="AB168" s="75"/>
      <c r="AC168" s="75"/>
      <c r="AD168" s="75"/>
      <c r="AE168" s="79"/>
      <c r="AF168" s="79"/>
      <c r="AG168" s="79"/>
      <c r="AH168" s="33"/>
    </row>
    <row r="169" spans="1:34" ht="20.100000000000001" customHeight="1">
      <c r="A169" s="36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75"/>
      <c r="AC169" s="75"/>
      <c r="AD169" s="75"/>
      <c r="AE169" s="79"/>
      <c r="AF169" s="79"/>
      <c r="AG169" s="79"/>
      <c r="AH169" s="33"/>
    </row>
    <row r="170" spans="1:34" ht="20.100000000000001" customHeight="1">
      <c r="A170" s="36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75"/>
      <c r="AC170" s="75"/>
      <c r="AD170" s="75"/>
      <c r="AE170" s="79"/>
      <c r="AF170" s="79"/>
      <c r="AG170" s="79"/>
      <c r="AH170" s="33"/>
    </row>
    <row r="171" spans="1:34" ht="20.100000000000001" customHeight="1">
      <c r="A171" s="36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75"/>
      <c r="AC171" s="75"/>
      <c r="AD171" s="75"/>
      <c r="AE171" s="33"/>
      <c r="AF171" s="33"/>
      <c r="AG171" s="33"/>
      <c r="AH171" s="33"/>
    </row>
    <row r="172" spans="1:34" ht="20.100000000000001" customHeight="1">
      <c r="A172" s="36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01"/>
      <c r="N172" s="301"/>
      <c r="O172" s="33"/>
      <c r="P172" s="33"/>
      <c r="Q172" s="71"/>
      <c r="R172" s="71"/>
      <c r="S172" s="71"/>
      <c r="T172" s="33"/>
      <c r="U172" s="33"/>
      <c r="V172" s="33"/>
      <c r="W172" s="33"/>
      <c r="X172" s="33"/>
      <c r="Y172" s="33"/>
      <c r="Z172" s="33"/>
      <c r="AA172" s="33"/>
      <c r="AB172" s="75"/>
      <c r="AC172" s="75"/>
      <c r="AD172" s="75"/>
      <c r="AE172" s="33"/>
      <c r="AF172" s="33"/>
      <c r="AG172" s="33"/>
      <c r="AH172" s="33"/>
    </row>
    <row r="173" spans="1:34" ht="20.100000000000001" customHeight="1">
      <c r="A173" s="36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71"/>
      <c r="N173" s="310"/>
      <c r="O173" s="310"/>
      <c r="P173" s="310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75"/>
      <c r="AC173" s="75"/>
      <c r="AD173" s="75"/>
      <c r="AE173" s="33"/>
      <c r="AF173" s="33"/>
      <c r="AG173" s="33"/>
      <c r="AH173" s="33"/>
    </row>
    <row r="174" spans="1:34" ht="20.100000000000001" customHeight="1">
      <c r="A174" s="36"/>
      <c r="B174" s="33"/>
      <c r="C174" s="33"/>
      <c r="D174" s="35"/>
      <c r="E174" s="35"/>
      <c r="F174" s="64"/>
      <c r="G174" s="78"/>
      <c r="H174" s="77"/>
      <c r="I174" s="64"/>
      <c r="J174" s="62"/>
      <c r="K174" s="62"/>
      <c r="L174" s="62"/>
      <c r="M174" s="33"/>
      <c r="N174" s="310"/>
      <c r="O174" s="310"/>
      <c r="P174" s="33"/>
      <c r="Q174" s="33"/>
      <c r="R174" s="33"/>
      <c r="S174" s="33"/>
      <c r="T174" s="33"/>
      <c r="U174" s="33"/>
      <c r="V174" s="70"/>
      <c r="W174" s="70"/>
      <c r="X174" s="70"/>
      <c r="Y174" s="33"/>
      <c r="Z174" s="33"/>
      <c r="AA174" s="33"/>
      <c r="AB174" s="75"/>
      <c r="AC174" s="75"/>
      <c r="AD174" s="75"/>
      <c r="AE174" s="33"/>
      <c r="AF174" s="33"/>
      <c r="AG174" s="33"/>
      <c r="AH174" s="33"/>
    </row>
    <row r="175" spans="1:34" ht="20.100000000000001" customHeight="1">
      <c r="A175" s="36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75"/>
      <c r="AC175" s="75"/>
      <c r="AD175" s="75"/>
      <c r="AE175" s="33"/>
      <c r="AF175" s="33"/>
      <c r="AG175" s="33"/>
      <c r="AH175" s="33"/>
    </row>
    <row r="176" spans="1:34" ht="20.100000000000001" customHeight="1">
      <c r="A176" s="36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75"/>
      <c r="AC176" s="75"/>
      <c r="AD176" s="75"/>
      <c r="AE176" s="42"/>
      <c r="AF176" s="42"/>
      <c r="AG176" s="42"/>
      <c r="AH176" s="72"/>
    </row>
    <row r="177" spans="1:34" ht="20.100000000000001" customHeight="1">
      <c r="A177" s="36"/>
      <c r="B177" s="35"/>
      <c r="C177" s="35"/>
      <c r="D177" s="35"/>
      <c r="E177" s="303"/>
      <c r="F177" s="303"/>
      <c r="G177" s="35"/>
      <c r="H177" s="35"/>
      <c r="I177" s="35"/>
      <c r="J177" s="303"/>
      <c r="K177" s="303"/>
      <c r="L177" s="303"/>
      <c r="M177" s="303"/>
      <c r="N177" s="35"/>
      <c r="O177" s="307"/>
      <c r="P177" s="307"/>
      <c r="Q177" s="307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75"/>
      <c r="AC177" s="75"/>
      <c r="AD177" s="75"/>
      <c r="AE177" s="73"/>
      <c r="AF177" s="73"/>
      <c r="AG177" s="73"/>
      <c r="AH177" s="72"/>
    </row>
    <row r="178" spans="1:34" ht="20.100000000000001" customHeight="1">
      <c r="A178" s="36"/>
      <c r="B178" s="35"/>
      <c r="C178" s="35"/>
      <c r="D178" s="35"/>
      <c r="E178" s="35"/>
      <c r="F178" s="33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75"/>
      <c r="AC178" s="75"/>
      <c r="AD178" s="75"/>
      <c r="AE178" s="76"/>
      <c r="AF178" s="73"/>
      <c r="AG178" s="73"/>
      <c r="AH178" s="72"/>
    </row>
    <row r="179" spans="1:34" ht="20.100000000000001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75"/>
      <c r="AC179" s="75"/>
      <c r="AD179" s="75"/>
      <c r="AE179" s="74"/>
      <c r="AF179" s="73"/>
      <c r="AG179" s="73"/>
      <c r="AH179" s="72"/>
    </row>
    <row r="180" spans="1:34" ht="20.100000000000001" customHeight="1">
      <c r="A180" s="36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71"/>
      <c r="O180" s="71"/>
      <c r="P180" s="70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2"/>
      <c r="AB180" s="39"/>
      <c r="AC180" s="30"/>
      <c r="AD180" s="34"/>
      <c r="AE180" s="33"/>
      <c r="AF180" s="30"/>
      <c r="AG180" s="32"/>
      <c r="AH180" s="30"/>
    </row>
    <row r="181" spans="1:34" ht="20.100000000000001" customHeight="1">
      <c r="A181" s="36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69"/>
      <c r="N181" s="69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2"/>
      <c r="AB181" s="39"/>
      <c r="AC181" s="30"/>
      <c r="AD181" s="34"/>
      <c r="AE181" s="33"/>
      <c r="AF181" s="30"/>
      <c r="AG181" s="32"/>
      <c r="AH181" s="30"/>
    </row>
    <row r="182" spans="1:34" ht="20.100000000000001" customHeight="1">
      <c r="A182" s="36"/>
      <c r="B182" s="33"/>
      <c r="C182" s="33"/>
      <c r="D182" s="35"/>
      <c r="E182" s="35"/>
      <c r="F182" s="64"/>
      <c r="G182" s="63"/>
      <c r="H182" s="63"/>
      <c r="I182" s="64"/>
      <c r="J182" s="62"/>
      <c r="K182" s="62"/>
      <c r="L182" s="62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2"/>
      <c r="AB182" s="39"/>
      <c r="AC182" s="30"/>
      <c r="AD182" s="34"/>
      <c r="AE182" s="33"/>
      <c r="AF182" s="68"/>
      <c r="AG182" s="67"/>
      <c r="AH182" s="30"/>
    </row>
    <row r="183" spans="1:34" ht="20.100000000000001" customHeight="1">
      <c r="A183" s="36"/>
      <c r="B183" s="33"/>
      <c r="C183" s="33"/>
      <c r="D183" s="35"/>
      <c r="E183" s="35"/>
      <c r="F183" s="64"/>
      <c r="G183" s="63"/>
      <c r="H183" s="63"/>
      <c r="I183" s="64"/>
      <c r="J183" s="62"/>
      <c r="K183" s="62"/>
      <c r="L183" s="62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2"/>
      <c r="AB183" s="39"/>
      <c r="AC183" s="30"/>
      <c r="AD183" s="34"/>
      <c r="AE183" s="33"/>
      <c r="AF183" s="68"/>
      <c r="AG183" s="67"/>
      <c r="AH183" s="30"/>
    </row>
    <row r="184" spans="1:34" ht="20.100000000000001" customHeight="1">
      <c r="A184" s="36"/>
      <c r="B184" s="33"/>
      <c r="C184" s="33"/>
      <c r="D184" s="35"/>
      <c r="E184" s="35"/>
      <c r="F184" s="64"/>
      <c r="G184" s="63"/>
      <c r="H184" s="63"/>
      <c r="I184" s="64"/>
      <c r="J184" s="62"/>
      <c r="K184" s="62"/>
      <c r="L184" s="62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2"/>
      <c r="AB184" s="39"/>
      <c r="AC184" s="30"/>
      <c r="AD184" s="34"/>
      <c r="AE184" s="33"/>
      <c r="AF184" s="68"/>
      <c r="AG184" s="67"/>
      <c r="AH184" s="30"/>
    </row>
    <row r="185" spans="1:34" ht="20.100000000000001" customHeight="1">
      <c r="A185" s="36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2"/>
      <c r="AB185" s="39"/>
      <c r="AC185" s="17"/>
      <c r="AD185" s="34"/>
      <c r="AE185" s="42"/>
      <c r="AF185" s="66"/>
      <c r="AG185" s="65"/>
      <c r="AH185" s="30"/>
    </row>
    <row r="186" spans="1:34" ht="20.100000000000001" customHeight="1">
      <c r="A186" s="36"/>
      <c r="B186" s="35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2"/>
      <c r="AB186" s="39"/>
      <c r="AC186" s="30"/>
      <c r="AD186" s="34"/>
      <c r="AE186" s="33"/>
      <c r="AF186" s="30"/>
      <c r="AG186" s="32"/>
      <c r="AH186" s="30"/>
    </row>
    <row r="187" spans="1:34" ht="20.100000000000001" customHeight="1">
      <c r="A187" s="36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2"/>
      <c r="AB187" s="39"/>
      <c r="AC187" s="30"/>
      <c r="AD187" s="34"/>
      <c r="AE187" s="33"/>
      <c r="AF187" s="30"/>
      <c r="AG187" s="32"/>
      <c r="AH187" s="30"/>
    </row>
    <row r="188" spans="1:34" ht="20.100000000000001" customHeight="1">
      <c r="A188" s="36"/>
      <c r="B188" s="301"/>
      <c r="C188" s="301"/>
      <c r="D188" s="301"/>
      <c r="E188" s="35"/>
      <c r="F188" s="64"/>
      <c r="G188" s="63"/>
      <c r="H188" s="314"/>
      <c r="I188" s="314"/>
      <c r="J188" s="62"/>
      <c r="K188" s="307"/>
      <c r="L188" s="307"/>
      <c r="M188" s="307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2"/>
      <c r="AB188" s="39"/>
      <c r="AC188" s="52"/>
      <c r="AD188" s="34"/>
      <c r="AE188" s="33"/>
      <c r="AF188" s="34"/>
      <c r="AG188" s="60"/>
      <c r="AH188" s="30"/>
    </row>
    <row r="189" spans="1:34" ht="20.100000000000001" customHeight="1">
      <c r="A189" s="36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2"/>
      <c r="AB189" s="39"/>
      <c r="AC189" s="51"/>
      <c r="AD189" s="34"/>
      <c r="AE189" s="61"/>
      <c r="AF189" s="34"/>
      <c r="AG189" s="60"/>
      <c r="AH189" s="16"/>
    </row>
    <row r="190" spans="1:34">
      <c r="A190" s="36"/>
      <c r="B190" s="33"/>
      <c r="C190" s="33"/>
      <c r="D190" s="35"/>
      <c r="E190" s="35"/>
      <c r="F190" s="64"/>
      <c r="G190" s="63"/>
      <c r="H190" s="63"/>
      <c r="I190" s="64"/>
      <c r="J190" s="62"/>
      <c r="K190" s="62"/>
      <c r="L190" s="62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2"/>
      <c r="AB190" s="39"/>
      <c r="AC190" s="52"/>
      <c r="AD190" s="34"/>
      <c r="AE190" s="33"/>
      <c r="AF190" s="34"/>
      <c r="AG190" s="60"/>
      <c r="AH190" s="30"/>
    </row>
    <row r="191" spans="1:34">
      <c r="A191" s="36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2"/>
      <c r="AB191" s="39"/>
      <c r="AC191" s="51"/>
      <c r="AD191" s="34"/>
      <c r="AE191" s="42"/>
      <c r="AF191" s="34"/>
      <c r="AG191" s="60"/>
      <c r="AH191" s="30"/>
    </row>
    <row r="192" spans="1:34">
      <c r="A192" s="36"/>
      <c r="B192" s="301"/>
      <c r="C192" s="301"/>
      <c r="D192" s="301"/>
      <c r="E192" s="35"/>
      <c r="F192" s="64"/>
      <c r="G192" s="63"/>
      <c r="H192" s="314"/>
      <c r="I192" s="314"/>
      <c r="J192" s="62"/>
      <c r="K192" s="307"/>
      <c r="L192" s="307"/>
      <c r="M192" s="307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2"/>
      <c r="AB192" s="39"/>
      <c r="AC192" s="52"/>
      <c r="AD192" s="34"/>
      <c r="AE192" s="33"/>
      <c r="AF192" s="34"/>
      <c r="AG192" s="60"/>
      <c r="AH192" s="30"/>
    </row>
    <row r="193" spans="1:34">
      <c r="A193" s="36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2"/>
      <c r="AB193" s="39"/>
      <c r="AC193" s="51"/>
      <c r="AD193" s="34"/>
      <c r="AE193" s="61"/>
      <c r="AF193" s="34"/>
      <c r="AG193" s="60"/>
      <c r="AH193" s="16"/>
    </row>
    <row r="194" spans="1:34">
      <c r="A194" s="59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7"/>
      <c r="AB194" s="39"/>
      <c r="AC194" s="56"/>
      <c r="AD194" s="34"/>
      <c r="AE194" s="55"/>
      <c r="AF194" s="54"/>
      <c r="AG194" s="53"/>
      <c r="AH194" s="19"/>
    </row>
    <row r="195" spans="1:34">
      <c r="A195" s="36"/>
      <c r="B195" s="35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2"/>
      <c r="AB195" s="39"/>
      <c r="AC195" s="52"/>
      <c r="AD195" s="34"/>
      <c r="AE195" s="33"/>
      <c r="AF195" s="30"/>
      <c r="AG195" s="32"/>
      <c r="AH195" s="30"/>
    </row>
    <row r="196" spans="1:34">
      <c r="A196" s="36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8"/>
      <c r="AB196" s="39"/>
      <c r="AC196" s="51"/>
      <c r="AD196" s="34"/>
      <c r="AE196" s="42"/>
      <c r="AF196" s="17"/>
      <c r="AG196" s="43"/>
      <c r="AH196" s="30"/>
    </row>
    <row r="197" spans="1:34">
      <c r="A197" s="36"/>
      <c r="B197" s="35"/>
      <c r="C197" s="35"/>
      <c r="D197" s="35"/>
      <c r="E197" s="35"/>
      <c r="F197" s="35"/>
      <c r="G197" s="33"/>
      <c r="H197" s="33"/>
      <c r="I197" s="35"/>
      <c r="J197" s="33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8"/>
      <c r="AB197" s="39"/>
      <c r="AC197" s="17"/>
      <c r="AD197" s="34"/>
      <c r="AE197" s="42"/>
      <c r="AF197" s="17"/>
      <c r="AG197" s="43"/>
      <c r="AH197" s="30"/>
    </row>
    <row r="198" spans="1:34">
      <c r="A198" s="36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8"/>
      <c r="AB198" s="39"/>
      <c r="AC198" s="17"/>
      <c r="AD198" s="34"/>
      <c r="AE198" s="42"/>
      <c r="AF198" s="17"/>
      <c r="AG198" s="43"/>
      <c r="AH198" s="30"/>
    </row>
    <row r="199" spans="1:34">
      <c r="A199" s="36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8"/>
      <c r="AB199" s="39"/>
      <c r="AC199" s="17"/>
      <c r="AD199" s="34"/>
      <c r="AE199" s="42"/>
      <c r="AF199" s="17"/>
      <c r="AG199" s="43"/>
      <c r="AH199" s="30"/>
    </row>
    <row r="200" spans="1:34">
      <c r="A200" s="36"/>
      <c r="B200" s="35"/>
      <c r="C200" s="50"/>
      <c r="D200" s="33"/>
      <c r="E200" s="33"/>
      <c r="F200" s="33"/>
      <c r="G200" s="33"/>
      <c r="H200" s="33"/>
      <c r="I200" s="33"/>
      <c r="J200" s="49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8"/>
      <c r="AB200" s="39"/>
      <c r="AC200" s="17"/>
      <c r="AD200" s="34"/>
      <c r="AE200" s="42"/>
      <c r="AF200" s="17"/>
      <c r="AG200" s="43"/>
      <c r="AH200" s="30"/>
    </row>
    <row r="201" spans="1:34">
      <c r="A201" s="36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8"/>
      <c r="AB201" s="39"/>
      <c r="AC201" s="17"/>
      <c r="AD201" s="34"/>
      <c r="AE201" s="42"/>
      <c r="AF201" s="17"/>
      <c r="AG201" s="43"/>
      <c r="AH201" s="30"/>
    </row>
    <row r="202" spans="1:34">
      <c r="A202" s="36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8"/>
      <c r="AB202" s="39"/>
      <c r="AC202" s="17"/>
      <c r="AD202" s="34"/>
      <c r="AE202" s="42"/>
      <c r="AF202" s="17"/>
      <c r="AG202" s="43"/>
      <c r="AH202" s="30"/>
    </row>
    <row r="203" spans="1:34">
      <c r="A203" s="36"/>
      <c r="B203" s="35"/>
      <c r="C203" s="35"/>
      <c r="D203" s="35"/>
      <c r="E203" s="35"/>
      <c r="F203" s="33"/>
      <c r="G203" s="33"/>
      <c r="H203" s="33"/>
      <c r="I203" s="33"/>
      <c r="J203" s="33"/>
      <c r="K203" s="33"/>
      <c r="L203" s="33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8"/>
      <c r="AB203" s="39"/>
      <c r="AC203" s="17"/>
      <c r="AD203" s="34"/>
      <c r="AE203" s="42"/>
      <c r="AF203" s="17"/>
      <c r="AG203" s="43"/>
      <c r="AH203" s="30"/>
    </row>
    <row r="204" spans="1:34">
      <c r="A204" s="36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2"/>
      <c r="AB204" s="39"/>
      <c r="AC204" s="17"/>
      <c r="AD204" s="34"/>
      <c r="AE204" s="42"/>
      <c r="AF204" s="48"/>
      <c r="AG204" s="47"/>
      <c r="AH204" s="30"/>
    </row>
    <row r="205" spans="1:34">
      <c r="A205" s="36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2"/>
      <c r="AB205" s="39"/>
      <c r="AC205" s="30"/>
      <c r="AD205" s="34"/>
      <c r="AE205" s="33"/>
      <c r="AF205" s="30"/>
      <c r="AG205" s="32"/>
      <c r="AH205" s="30"/>
    </row>
    <row r="206" spans="1:34">
      <c r="A206" s="36"/>
      <c r="B206" s="33"/>
      <c r="C206" s="33"/>
      <c r="D206" s="33"/>
      <c r="E206" s="33"/>
      <c r="F206" s="33"/>
      <c r="G206" s="33"/>
      <c r="H206" s="33"/>
      <c r="I206" s="301"/>
      <c r="J206" s="301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2"/>
      <c r="AB206" s="39"/>
      <c r="AC206" s="45"/>
      <c r="AD206" s="34"/>
      <c r="AE206" s="46"/>
      <c r="AF206" s="45"/>
      <c r="AG206" s="44"/>
      <c r="AH206" s="30"/>
    </row>
    <row r="207" spans="1:34">
      <c r="A207" s="36"/>
      <c r="B207" s="33"/>
      <c r="C207" s="33"/>
      <c r="D207" s="33"/>
      <c r="E207" s="33"/>
      <c r="F207" s="33"/>
      <c r="G207" s="301"/>
      <c r="H207" s="301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2"/>
      <c r="AB207" s="39"/>
      <c r="AC207" s="30"/>
      <c r="AD207" s="34"/>
      <c r="AE207" s="33"/>
      <c r="AF207" s="30"/>
      <c r="AG207" s="32"/>
      <c r="AH207" s="30"/>
    </row>
    <row r="208" spans="1:34">
      <c r="A208" s="36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8"/>
      <c r="AB208" s="39"/>
      <c r="AC208" s="17"/>
      <c r="AD208" s="34"/>
      <c r="AE208" s="42"/>
      <c r="AF208" s="17"/>
      <c r="AG208" s="43"/>
      <c r="AH208" s="30"/>
    </row>
    <row r="209" spans="1:34">
      <c r="A209" s="36"/>
      <c r="B209" s="33"/>
      <c r="C209" s="33"/>
      <c r="D209" s="33"/>
      <c r="E209" s="33"/>
      <c r="F209" s="33"/>
      <c r="G209" s="33"/>
      <c r="H209" s="33"/>
      <c r="I209" s="33"/>
      <c r="J209" s="301"/>
      <c r="K209" s="301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2"/>
      <c r="AB209" s="39"/>
      <c r="AC209" s="30"/>
      <c r="AD209" s="34"/>
      <c r="AE209" s="33"/>
      <c r="AF209" s="30"/>
      <c r="AG209" s="32"/>
      <c r="AH209" s="30"/>
    </row>
    <row r="210" spans="1:34">
      <c r="A210" s="36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2"/>
      <c r="AB210" s="39"/>
      <c r="AC210" s="30"/>
      <c r="AD210" s="34"/>
      <c r="AE210" s="33"/>
      <c r="AF210" s="30"/>
      <c r="AG210" s="32"/>
      <c r="AH210" s="30"/>
    </row>
    <row r="211" spans="1:34">
      <c r="A211" s="36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8"/>
      <c r="AB211" s="39"/>
      <c r="AC211" s="17"/>
      <c r="AD211" s="34"/>
      <c r="AE211" s="42"/>
      <c r="AF211" s="17"/>
      <c r="AG211" s="43"/>
      <c r="AH211" s="30"/>
    </row>
    <row r="212" spans="1:34">
      <c r="A212" s="36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8"/>
      <c r="AB212" s="39"/>
      <c r="AC212" s="17"/>
      <c r="AD212" s="34"/>
      <c r="AE212" s="42"/>
      <c r="AF212" s="17"/>
      <c r="AG212" s="43"/>
      <c r="AH212" s="30"/>
    </row>
    <row r="213" spans="1:34">
      <c r="A213" s="36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8"/>
      <c r="AB213" s="39"/>
      <c r="AC213" s="17"/>
      <c r="AD213" s="34"/>
      <c r="AE213" s="42"/>
      <c r="AF213" s="17"/>
      <c r="AG213" s="43"/>
      <c r="AH213" s="30"/>
    </row>
    <row r="214" spans="1:34">
      <c r="A214" s="36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8"/>
      <c r="AB214" s="39"/>
      <c r="AC214" s="17"/>
      <c r="AD214" s="34"/>
      <c r="AE214" s="42"/>
      <c r="AF214" s="17"/>
      <c r="AG214" s="43"/>
      <c r="AH214" s="30"/>
    </row>
    <row r="215" spans="1:34">
      <c r="A215" s="36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8"/>
      <c r="AB215" s="39"/>
      <c r="AC215" s="17"/>
      <c r="AD215" s="34"/>
      <c r="AE215" s="42"/>
      <c r="AF215" s="17"/>
      <c r="AG215" s="43"/>
      <c r="AH215" s="30"/>
    </row>
    <row r="216" spans="1:34">
      <c r="A216" s="36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8"/>
      <c r="AB216" s="39"/>
      <c r="AC216" s="17"/>
      <c r="AD216" s="34"/>
      <c r="AE216" s="42"/>
      <c r="AF216" s="17"/>
      <c r="AG216" s="37"/>
      <c r="AH216" s="30"/>
    </row>
    <row r="217" spans="1:34">
      <c r="A217" s="36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8"/>
      <c r="AB217" s="39"/>
      <c r="AC217" s="17"/>
      <c r="AD217" s="34"/>
      <c r="AE217" s="42"/>
      <c r="AF217" s="17"/>
      <c r="AG217" s="37"/>
      <c r="AH217" s="30"/>
    </row>
    <row r="218" spans="1:34">
      <c r="A218" s="36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8"/>
      <c r="AB218" s="39"/>
      <c r="AC218" s="40"/>
      <c r="AD218" s="34"/>
      <c r="AE218" s="41"/>
      <c r="AF218" s="40"/>
      <c r="AG218" s="37"/>
      <c r="AH218" s="30"/>
    </row>
    <row r="219" spans="1:34">
      <c r="A219" s="36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8"/>
      <c r="AB219" s="39"/>
      <c r="AC219" s="30"/>
      <c r="AD219" s="34"/>
      <c r="AE219" s="33"/>
      <c r="AF219" s="30"/>
      <c r="AG219" s="32"/>
      <c r="AH219" s="30"/>
    </row>
    <row r="220" spans="1:34">
      <c r="A220" s="36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8"/>
      <c r="AB220" s="39"/>
      <c r="AC220" s="30"/>
      <c r="AD220" s="34"/>
      <c r="AE220" s="33"/>
      <c r="AF220" s="30"/>
      <c r="AG220" s="32"/>
      <c r="AH220" s="30"/>
    </row>
    <row r="221" spans="1:34">
      <c r="A221" s="36"/>
      <c r="B221" s="35"/>
      <c r="C221" s="35"/>
      <c r="D221" s="35"/>
      <c r="E221" s="35"/>
      <c r="F221" s="35"/>
      <c r="G221" s="35"/>
      <c r="H221" s="35"/>
      <c r="I221" s="35"/>
      <c r="J221" s="303"/>
      <c r="K221" s="303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8"/>
      <c r="AB221" s="30"/>
      <c r="AC221" s="30"/>
      <c r="AD221" s="34"/>
      <c r="AE221" s="33"/>
      <c r="AF221" s="30"/>
      <c r="AG221" s="32"/>
      <c r="AH221" s="30"/>
    </row>
    <row r="222" spans="1:34">
      <c r="A222" s="36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8"/>
      <c r="AB222" s="30"/>
      <c r="AC222" s="30"/>
      <c r="AD222" s="34"/>
      <c r="AE222" s="33"/>
      <c r="AF222" s="30"/>
      <c r="AG222" s="37"/>
      <c r="AH222" s="30"/>
    </row>
    <row r="223" spans="1:34">
      <c r="A223" s="36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8"/>
      <c r="AB223" s="30"/>
      <c r="AC223" s="30"/>
      <c r="AD223" s="34"/>
      <c r="AE223" s="33"/>
      <c r="AF223" s="30"/>
      <c r="AG223" s="37"/>
      <c r="AH223" s="30"/>
    </row>
    <row r="224" spans="1:34">
      <c r="A224" s="36"/>
      <c r="B224" s="35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0"/>
      <c r="AC224" s="32"/>
      <c r="AD224" s="34"/>
      <c r="AE224" s="33"/>
      <c r="AF224" s="30"/>
      <c r="AG224" s="32"/>
      <c r="AH224" s="30"/>
    </row>
    <row r="225" spans="1:34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0"/>
      <c r="AC225" s="31"/>
      <c r="AD225" s="30"/>
      <c r="AE225" s="31"/>
      <c r="AF225" s="30"/>
      <c r="AG225" s="30"/>
      <c r="AH225" s="30"/>
    </row>
    <row r="226" spans="1:34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0"/>
      <c r="AC226" s="31"/>
      <c r="AD226" s="30"/>
      <c r="AE226" s="31"/>
      <c r="AF226" s="30"/>
      <c r="AG226" s="30"/>
      <c r="AH226" s="30"/>
    </row>
    <row r="227" spans="1:34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0"/>
      <c r="AC227" s="31"/>
      <c r="AD227" s="30"/>
      <c r="AE227" s="31"/>
      <c r="AF227" s="30"/>
      <c r="AG227" s="30"/>
      <c r="AH227" s="30"/>
    </row>
    <row r="228" spans="1:34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0"/>
      <c r="AC228" s="31"/>
      <c r="AD228" s="30"/>
      <c r="AE228" s="31"/>
      <c r="AF228" s="30"/>
      <c r="AG228" s="30"/>
      <c r="AH228" s="30"/>
    </row>
    <row r="229" spans="1:34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0"/>
      <c r="AC229" s="31"/>
      <c r="AD229" s="30"/>
      <c r="AE229" s="31"/>
      <c r="AF229" s="30"/>
      <c r="AG229" s="30"/>
      <c r="AH229" s="30"/>
    </row>
    <row r="230" spans="1:34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0"/>
      <c r="AC230" s="31"/>
      <c r="AD230" s="30"/>
      <c r="AE230" s="31"/>
      <c r="AF230" s="30"/>
      <c r="AG230" s="30"/>
      <c r="AH230" s="30"/>
    </row>
    <row r="231" spans="1:34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0"/>
      <c r="AC231" s="31"/>
      <c r="AD231" s="30"/>
      <c r="AE231" s="31"/>
      <c r="AF231" s="30"/>
      <c r="AG231" s="30"/>
      <c r="AH231" s="30"/>
    </row>
    <row r="232" spans="1:34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0"/>
      <c r="AC232" s="31"/>
      <c r="AD232" s="30"/>
      <c r="AE232" s="31"/>
      <c r="AF232" s="30"/>
      <c r="AG232" s="30"/>
      <c r="AH232" s="30"/>
    </row>
    <row r="233" spans="1:34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0"/>
      <c r="AC233" s="31"/>
      <c r="AD233" s="30"/>
      <c r="AE233" s="31"/>
      <c r="AF233" s="30"/>
      <c r="AG233" s="30"/>
      <c r="AH233" s="30"/>
    </row>
    <row r="234" spans="1: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0"/>
      <c r="AC234" s="31"/>
      <c r="AD234" s="30"/>
      <c r="AE234" s="31"/>
      <c r="AF234" s="30"/>
      <c r="AG234" s="30"/>
      <c r="AH234" s="30"/>
    </row>
    <row r="235" spans="1:34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0"/>
      <c r="AC235" s="31"/>
      <c r="AD235" s="30"/>
      <c r="AE235" s="31"/>
      <c r="AF235" s="30"/>
      <c r="AG235" s="30"/>
      <c r="AH235" s="30"/>
    </row>
    <row r="236" spans="1:34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0"/>
      <c r="AC236" s="31"/>
      <c r="AD236" s="30"/>
      <c r="AE236" s="31"/>
      <c r="AF236" s="30"/>
      <c r="AG236" s="30"/>
      <c r="AH236" s="30"/>
    </row>
    <row r="237" spans="1:34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0"/>
      <c r="AC237" s="31"/>
      <c r="AD237" s="30"/>
      <c r="AE237" s="31"/>
      <c r="AF237" s="30"/>
      <c r="AG237" s="30"/>
      <c r="AH237" s="30"/>
    </row>
    <row r="238" spans="1:34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0"/>
      <c r="AC238" s="31"/>
      <c r="AD238" s="30"/>
      <c r="AE238" s="31"/>
      <c r="AF238" s="30"/>
      <c r="AG238" s="30"/>
      <c r="AH238" s="30"/>
    </row>
    <row r="239" spans="1:34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0"/>
      <c r="AC239" s="31"/>
      <c r="AD239" s="30"/>
      <c r="AE239" s="31"/>
      <c r="AF239" s="30"/>
      <c r="AG239" s="30"/>
      <c r="AH239" s="30"/>
    </row>
    <row r="240" spans="1:34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0"/>
      <c r="AC240" s="31"/>
      <c r="AD240" s="30"/>
      <c r="AE240" s="31"/>
      <c r="AF240" s="30"/>
      <c r="AG240" s="30"/>
      <c r="AH240" s="30"/>
    </row>
    <row r="241" spans="1:34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0"/>
      <c r="AC241" s="31"/>
      <c r="AD241" s="30"/>
      <c r="AE241" s="31"/>
      <c r="AF241" s="30"/>
      <c r="AG241" s="30"/>
      <c r="AH241" s="30"/>
    </row>
    <row r="242" spans="1:34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0"/>
      <c r="AC242" s="31"/>
      <c r="AD242" s="30"/>
      <c r="AE242" s="31"/>
      <c r="AF242" s="30"/>
      <c r="AG242" s="30"/>
      <c r="AH242" s="30"/>
    </row>
    <row r="243" spans="1:34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0"/>
      <c r="AC243" s="31"/>
      <c r="AD243" s="30"/>
      <c r="AE243" s="31"/>
      <c r="AF243" s="30"/>
      <c r="AG243" s="30"/>
      <c r="AH243" s="30"/>
    </row>
    <row r="244" spans="1:3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0"/>
      <c r="AC244" s="31"/>
      <c r="AD244" s="30"/>
      <c r="AE244" s="31"/>
      <c r="AF244" s="30"/>
      <c r="AG244" s="30"/>
      <c r="AH244" s="30"/>
    </row>
    <row r="245" spans="1:34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0"/>
      <c r="AC245" s="31"/>
      <c r="AD245" s="30"/>
      <c r="AE245" s="31"/>
      <c r="AF245" s="30"/>
      <c r="AG245" s="30"/>
      <c r="AH245" s="30"/>
    </row>
    <row r="246" spans="1:34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0"/>
      <c r="AC246" s="31"/>
      <c r="AD246" s="30"/>
      <c r="AE246" s="31"/>
      <c r="AF246" s="30"/>
      <c r="AG246" s="30"/>
      <c r="AH246" s="30"/>
    </row>
    <row r="247" spans="1:34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0"/>
      <c r="AC247" s="31"/>
      <c r="AD247" s="30"/>
      <c r="AE247" s="31"/>
      <c r="AF247" s="30"/>
      <c r="AG247" s="30"/>
      <c r="AH247" s="30"/>
    </row>
    <row r="248" spans="1:34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0"/>
      <c r="AC248" s="31"/>
      <c r="AD248" s="30"/>
      <c r="AE248" s="31"/>
      <c r="AF248" s="30"/>
      <c r="AG248" s="30"/>
      <c r="AH248" s="30"/>
    </row>
    <row r="249" spans="1:34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0"/>
      <c r="AC249" s="31"/>
      <c r="AD249" s="30"/>
      <c r="AE249" s="31"/>
      <c r="AF249" s="30"/>
      <c r="AG249" s="30"/>
      <c r="AH249" s="30"/>
    </row>
    <row r="250" spans="1:34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0"/>
      <c r="AC250" s="31"/>
      <c r="AD250" s="30"/>
      <c r="AE250" s="31"/>
      <c r="AF250" s="30"/>
      <c r="AG250" s="30"/>
      <c r="AH250" s="30"/>
    </row>
    <row r="251" spans="1:34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0"/>
      <c r="AC251" s="31"/>
      <c r="AD251" s="30"/>
      <c r="AE251" s="31"/>
      <c r="AF251" s="30"/>
      <c r="AG251" s="30"/>
      <c r="AH251" s="30"/>
    </row>
    <row r="252" spans="1:34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0"/>
      <c r="AC252" s="31"/>
      <c r="AD252" s="30"/>
      <c r="AE252" s="31"/>
      <c r="AF252" s="30"/>
      <c r="AG252" s="30"/>
      <c r="AH252" s="30"/>
    </row>
    <row r="253" spans="1:34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0"/>
      <c r="AC253" s="31"/>
      <c r="AD253" s="30"/>
      <c r="AE253" s="31"/>
      <c r="AF253" s="30"/>
      <c r="AG253" s="30"/>
      <c r="AH253" s="30"/>
    </row>
    <row r="254" spans="1:3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0"/>
      <c r="AC254" s="31"/>
      <c r="AD254" s="30"/>
      <c r="AE254" s="31"/>
      <c r="AF254" s="30"/>
      <c r="AG254" s="30"/>
      <c r="AH254" s="30"/>
    </row>
    <row r="255" spans="1:34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0"/>
      <c r="AC255" s="31"/>
      <c r="AD255" s="30"/>
      <c r="AE255" s="31"/>
      <c r="AF255" s="30"/>
      <c r="AG255" s="30"/>
      <c r="AH255" s="30"/>
    </row>
    <row r="256" spans="1:34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0"/>
      <c r="AC256" s="31"/>
      <c r="AD256" s="30"/>
      <c r="AE256" s="31"/>
      <c r="AF256" s="30"/>
      <c r="AG256" s="30"/>
      <c r="AH256" s="30"/>
    </row>
    <row r="257" spans="1:34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0"/>
      <c r="AC257" s="31"/>
      <c r="AD257" s="30"/>
      <c r="AE257" s="31"/>
      <c r="AF257" s="30"/>
      <c r="AG257" s="30"/>
      <c r="AH257" s="30"/>
    </row>
    <row r="258" spans="1:34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0"/>
      <c r="AC258" s="31"/>
      <c r="AD258" s="30"/>
      <c r="AE258" s="31"/>
      <c r="AF258" s="30"/>
      <c r="AG258" s="30"/>
      <c r="AH258" s="30"/>
    </row>
    <row r="259" spans="1:34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0"/>
      <c r="AC259" s="31"/>
      <c r="AD259" s="30"/>
      <c r="AE259" s="31"/>
      <c r="AF259" s="30"/>
      <c r="AG259" s="30"/>
      <c r="AH259" s="30"/>
    </row>
    <row r="260" spans="1:34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0"/>
      <c r="AC260" s="31"/>
      <c r="AD260" s="30"/>
      <c r="AE260" s="31"/>
      <c r="AF260" s="30"/>
      <c r="AG260" s="30"/>
      <c r="AH260" s="30"/>
    </row>
    <row r="261" spans="1:34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0"/>
      <c r="AC261" s="31"/>
      <c r="AD261" s="30"/>
      <c r="AE261" s="31"/>
      <c r="AF261" s="30"/>
      <c r="AG261" s="30"/>
      <c r="AH261" s="30"/>
    </row>
    <row r="262" spans="1:34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0"/>
      <c r="AC262" s="31"/>
      <c r="AD262" s="30"/>
      <c r="AE262" s="31"/>
      <c r="AF262" s="30"/>
      <c r="AG262" s="30"/>
      <c r="AH262" s="30"/>
    </row>
    <row r="263" spans="1:34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0"/>
      <c r="AC263" s="31"/>
      <c r="AD263" s="30"/>
      <c r="AE263" s="31"/>
      <c r="AF263" s="30"/>
      <c r="AG263" s="30"/>
      <c r="AH263" s="30"/>
    </row>
    <row r="264" spans="1:3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0"/>
      <c r="AC264" s="31"/>
      <c r="AD264" s="30"/>
      <c r="AE264" s="31"/>
      <c r="AF264" s="30"/>
      <c r="AG264" s="30"/>
      <c r="AH264" s="30"/>
    </row>
    <row r="265" spans="1:34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0"/>
      <c r="AC265" s="31"/>
      <c r="AD265" s="30"/>
      <c r="AE265" s="31"/>
      <c r="AF265" s="30"/>
      <c r="AG265" s="30"/>
      <c r="AH265" s="30"/>
    </row>
    <row r="266" spans="1:34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0"/>
      <c r="AC266" s="31"/>
      <c r="AD266" s="30"/>
      <c r="AE266" s="31"/>
      <c r="AF266" s="30"/>
      <c r="AG266" s="30"/>
      <c r="AH266" s="30"/>
    </row>
    <row r="267" spans="1:34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0"/>
      <c r="AC267" s="31"/>
      <c r="AD267" s="30"/>
      <c r="AE267" s="31"/>
      <c r="AF267" s="30"/>
      <c r="AG267" s="30"/>
      <c r="AH267" s="30"/>
    </row>
    <row r="268" spans="1:34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0"/>
      <c r="AC268" s="31"/>
      <c r="AD268" s="30"/>
      <c r="AE268" s="31"/>
      <c r="AF268" s="30"/>
      <c r="AG268" s="30"/>
      <c r="AH268" s="30"/>
    </row>
    <row r="269" spans="1:34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0"/>
      <c r="AC269" s="31"/>
      <c r="AD269" s="30"/>
      <c r="AE269" s="31"/>
      <c r="AF269" s="30"/>
      <c r="AG269" s="30"/>
      <c r="AH269" s="30"/>
    </row>
    <row r="270" spans="1:34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0"/>
      <c r="AC270" s="31"/>
      <c r="AD270" s="30"/>
      <c r="AE270" s="31"/>
      <c r="AF270" s="30"/>
      <c r="AG270" s="30"/>
      <c r="AH270" s="30"/>
    </row>
    <row r="271" spans="1:34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0"/>
      <c r="AC271" s="31"/>
      <c r="AD271" s="30"/>
      <c r="AE271" s="31"/>
      <c r="AF271" s="30"/>
      <c r="AG271" s="30"/>
      <c r="AH271" s="30"/>
    </row>
    <row r="272" spans="1:34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0"/>
      <c r="AC272" s="31"/>
      <c r="AD272" s="30"/>
      <c r="AE272" s="31"/>
      <c r="AF272" s="30"/>
      <c r="AG272" s="30"/>
      <c r="AH272" s="30"/>
    </row>
    <row r="273" spans="1:34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0"/>
      <c r="AC273" s="31"/>
      <c r="AD273" s="30"/>
      <c r="AE273" s="31"/>
      <c r="AF273" s="30"/>
      <c r="AG273" s="30"/>
      <c r="AH273" s="30"/>
    </row>
    <row r="274" spans="1:3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0"/>
      <c r="AC274" s="31"/>
      <c r="AD274" s="30"/>
      <c r="AE274" s="31"/>
      <c r="AF274" s="30"/>
      <c r="AG274" s="30"/>
      <c r="AH274" s="30"/>
    </row>
    <row r="275" spans="1:34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0"/>
      <c r="AC275" s="31"/>
      <c r="AD275" s="30"/>
      <c r="AE275" s="31"/>
      <c r="AF275" s="30"/>
      <c r="AG275" s="30"/>
      <c r="AH275" s="30"/>
    </row>
    <row r="276" spans="1:34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0"/>
      <c r="AC276" s="31"/>
      <c r="AD276" s="30"/>
      <c r="AE276" s="31"/>
      <c r="AF276" s="30"/>
      <c r="AG276" s="30"/>
      <c r="AH276" s="30"/>
    </row>
    <row r="277" spans="1:34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0"/>
      <c r="AC277" s="31"/>
      <c r="AD277" s="30"/>
      <c r="AE277" s="31"/>
      <c r="AF277" s="30"/>
      <c r="AG277" s="30"/>
      <c r="AH277" s="30"/>
    </row>
    <row r="278" spans="1:34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0"/>
      <c r="AC278" s="31"/>
      <c r="AD278" s="30"/>
      <c r="AE278" s="31"/>
      <c r="AF278" s="30"/>
      <c r="AG278" s="30"/>
      <c r="AH278" s="30"/>
    </row>
    <row r="279" spans="1:34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0"/>
      <c r="AC279" s="31"/>
      <c r="AD279" s="30"/>
      <c r="AE279" s="31"/>
      <c r="AF279" s="30"/>
      <c r="AG279" s="30"/>
      <c r="AH279" s="30"/>
    </row>
    <row r="280" spans="1:34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0"/>
      <c r="AC280" s="31"/>
      <c r="AD280" s="30"/>
      <c r="AE280" s="31"/>
      <c r="AF280" s="30"/>
      <c r="AG280" s="30"/>
      <c r="AH280" s="30"/>
    </row>
    <row r="281" spans="1:34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0"/>
      <c r="AC281" s="31"/>
      <c r="AD281" s="30"/>
      <c r="AE281" s="31"/>
      <c r="AF281" s="30"/>
      <c r="AG281" s="30"/>
      <c r="AH281" s="30"/>
    </row>
    <row r="282" spans="1:34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8"/>
      <c r="AC282" s="29"/>
      <c r="AD282" s="28"/>
      <c r="AE282" s="29"/>
      <c r="AF282" s="28"/>
      <c r="AG282" s="28"/>
      <c r="AH282" s="28"/>
    </row>
    <row r="283" spans="1:34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8"/>
      <c r="AC283" s="29"/>
      <c r="AD283" s="28"/>
      <c r="AE283" s="29"/>
      <c r="AF283" s="28"/>
      <c r="AG283" s="28"/>
      <c r="AH283" s="28"/>
    </row>
    <row r="284" spans="1:34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8"/>
      <c r="AC284" s="29"/>
      <c r="AD284" s="28"/>
      <c r="AE284" s="29"/>
      <c r="AF284" s="28"/>
      <c r="AG284" s="28"/>
      <c r="AH284" s="28"/>
    </row>
    <row r="285" spans="1:34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8"/>
      <c r="AC285" s="29"/>
      <c r="AD285" s="28"/>
      <c r="AE285" s="29"/>
      <c r="AF285" s="28"/>
      <c r="AG285" s="28"/>
      <c r="AH285" s="28"/>
    </row>
    <row r="286" spans="1:34">
      <c r="AB286" s="27"/>
      <c r="AD286" s="27"/>
      <c r="AF286" s="27"/>
      <c r="AG286" s="27"/>
      <c r="AH286" s="27"/>
    </row>
    <row r="287" spans="1:34">
      <c r="AB287" s="27"/>
      <c r="AD287" s="27"/>
      <c r="AF287" s="27"/>
      <c r="AG287" s="27"/>
      <c r="AH287" s="27"/>
    </row>
    <row r="288" spans="1:34">
      <c r="AB288" s="27"/>
      <c r="AD288" s="27"/>
      <c r="AF288" s="27"/>
      <c r="AG288" s="27"/>
      <c r="AH288" s="27"/>
    </row>
    <row r="289" spans="28:34">
      <c r="AB289" s="27"/>
      <c r="AD289" s="27"/>
      <c r="AF289" s="27"/>
      <c r="AG289" s="27"/>
      <c r="AH289" s="27"/>
    </row>
  </sheetData>
  <mergeCells count="60">
    <mergeCell ref="B188:D188"/>
    <mergeCell ref="H188:I188"/>
    <mergeCell ref="K188:M188"/>
    <mergeCell ref="J221:K221"/>
    <mergeCell ref="B192:D192"/>
    <mergeCell ref="H192:I192"/>
    <mergeCell ref="K192:M192"/>
    <mergeCell ref="I206:J206"/>
    <mergeCell ref="G207:H207"/>
    <mergeCell ref="J209:K209"/>
    <mergeCell ref="M172:N172"/>
    <mergeCell ref="N173:P173"/>
    <mergeCell ref="N174:O174"/>
    <mergeCell ref="K151:L151"/>
    <mergeCell ref="E177:F177"/>
    <mergeCell ref="J177:K177"/>
    <mergeCell ref="L177:M177"/>
    <mergeCell ref="O177:Q177"/>
    <mergeCell ref="D158:E158"/>
    <mergeCell ref="G158:H158"/>
    <mergeCell ref="D159:E159"/>
    <mergeCell ref="G159:H159"/>
    <mergeCell ref="G131:H131"/>
    <mergeCell ref="M168:O168"/>
    <mergeCell ref="J146:K146"/>
    <mergeCell ref="G120:H120"/>
    <mergeCell ref="M122:O122"/>
    <mergeCell ref="M126:N126"/>
    <mergeCell ref="N127:P127"/>
    <mergeCell ref="N128:O128"/>
    <mergeCell ref="P100:R100"/>
    <mergeCell ref="D102:E102"/>
    <mergeCell ref="G102:H102"/>
    <mergeCell ref="J102:L102"/>
    <mergeCell ref="J103:L103"/>
    <mergeCell ref="J104:L104"/>
    <mergeCell ref="J80:L80"/>
    <mergeCell ref="J81:L81"/>
    <mergeCell ref="I94:J94"/>
    <mergeCell ref="H95:I95"/>
    <mergeCell ref="N96:O96"/>
    <mergeCell ref="H97:I97"/>
    <mergeCell ref="M74:N74"/>
    <mergeCell ref="N75:O75"/>
    <mergeCell ref="Q76:R76"/>
    <mergeCell ref="M77:N77"/>
    <mergeCell ref="G79:H79"/>
    <mergeCell ref="J79:L79"/>
    <mergeCell ref="A72:M72"/>
    <mergeCell ref="A1:AH1"/>
    <mergeCell ref="A2:AH2"/>
    <mergeCell ref="A3:AA3"/>
    <mergeCell ref="A22:Q22"/>
    <mergeCell ref="A24:M24"/>
    <mergeCell ref="A39:I39"/>
    <mergeCell ref="I52:J52"/>
    <mergeCell ref="G53:H53"/>
    <mergeCell ref="J54:K54"/>
    <mergeCell ref="V67:X67"/>
    <mergeCell ref="N69:O69"/>
  </mergeCells>
  <phoneticPr fontId="1" type="noConversion"/>
  <pageMargins left="0.78740157480314954" right="0" top="0.39370078740157477" bottom="0.39370078740157477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47"/>
  <sheetViews>
    <sheetView topLeftCell="B1" zoomScale="85" zoomScaleNormal="85" workbookViewId="0">
      <selection sqref="A1:X1"/>
    </sheetView>
  </sheetViews>
  <sheetFormatPr defaultRowHeight="16.5"/>
  <cols>
    <col min="1" max="1" width="21.625" hidden="1" customWidth="1"/>
    <col min="2" max="2" width="25" bestFit="1" customWidth="1"/>
    <col min="3" max="3" width="28.2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8.5" bestFit="1" customWidth="1"/>
    <col min="13" max="13" width="10.5" bestFit="1" customWidth="1"/>
    <col min="14" max="14" width="6.625" bestFit="1" customWidth="1"/>
    <col min="15" max="16" width="11.625" bestFit="1" customWidth="1"/>
    <col min="17" max="17" width="11.25" bestFit="1" customWidth="1"/>
    <col min="18" max="19" width="9.25" bestFit="1" customWidth="1"/>
    <col min="20" max="20" width="11.625" bestFit="1" customWidth="1"/>
    <col min="21" max="22" width="13.87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285" t="s">
        <v>529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8" ht="30" customHeight="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</row>
    <row r="3" spans="1:28" ht="30" customHeight="1">
      <c r="A3" s="286" t="s">
        <v>165</v>
      </c>
      <c r="B3" s="286" t="s">
        <v>2</v>
      </c>
      <c r="C3" s="286" t="s">
        <v>515</v>
      </c>
      <c r="D3" s="286" t="s">
        <v>4</v>
      </c>
      <c r="E3" s="286" t="s">
        <v>6</v>
      </c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 t="s">
        <v>167</v>
      </c>
      <c r="Q3" s="286" t="s">
        <v>168</v>
      </c>
      <c r="R3" s="286"/>
      <c r="S3" s="286"/>
      <c r="T3" s="286"/>
      <c r="U3" s="286"/>
      <c r="V3" s="286"/>
      <c r="W3" s="286" t="s">
        <v>170</v>
      </c>
      <c r="X3" s="286" t="s">
        <v>12</v>
      </c>
      <c r="Y3" s="284" t="s">
        <v>537</v>
      </c>
      <c r="Z3" s="284" t="s">
        <v>538</v>
      </c>
      <c r="AA3" s="284" t="s">
        <v>539</v>
      </c>
      <c r="AB3" s="284" t="s">
        <v>44</v>
      </c>
    </row>
    <row r="4" spans="1:28" ht="30" customHeight="1">
      <c r="A4" s="286"/>
      <c r="B4" s="286"/>
      <c r="C4" s="286"/>
      <c r="D4" s="286"/>
      <c r="E4" s="6" t="s">
        <v>530</v>
      </c>
      <c r="F4" s="6" t="s">
        <v>531</v>
      </c>
      <c r="G4" s="6" t="s">
        <v>532</v>
      </c>
      <c r="H4" s="6" t="s">
        <v>531</v>
      </c>
      <c r="I4" s="6" t="s">
        <v>533</v>
      </c>
      <c r="J4" s="6" t="s">
        <v>531</v>
      </c>
      <c r="K4" s="6" t="s">
        <v>534</v>
      </c>
      <c r="L4" s="6" t="s">
        <v>531</v>
      </c>
      <c r="M4" s="6" t="s">
        <v>535</v>
      </c>
      <c r="N4" s="6" t="s">
        <v>531</v>
      </c>
      <c r="O4" s="6" t="s">
        <v>536</v>
      </c>
      <c r="P4" s="286"/>
      <c r="Q4" s="6" t="s">
        <v>530</v>
      </c>
      <c r="R4" s="6" t="s">
        <v>532</v>
      </c>
      <c r="S4" s="6" t="s">
        <v>533</v>
      </c>
      <c r="T4" s="6" t="s">
        <v>534</v>
      </c>
      <c r="U4" s="6" t="s">
        <v>535</v>
      </c>
      <c r="V4" s="6" t="s">
        <v>536</v>
      </c>
      <c r="W4" s="286"/>
      <c r="X4" s="286"/>
      <c r="Y4" s="284"/>
      <c r="Z4" s="284"/>
      <c r="AA4" s="284"/>
      <c r="AB4" s="284"/>
    </row>
    <row r="5" spans="1:28" ht="30" customHeight="1">
      <c r="A5" s="8" t="s">
        <v>404</v>
      </c>
      <c r="B5" s="8" t="s">
        <v>304</v>
      </c>
      <c r="C5" s="8" t="s">
        <v>346</v>
      </c>
      <c r="D5" s="20" t="s">
        <v>310</v>
      </c>
      <c r="E5" s="21">
        <v>0</v>
      </c>
      <c r="F5" s="8" t="s">
        <v>52</v>
      </c>
      <c r="G5" s="21">
        <v>0</v>
      </c>
      <c r="H5" s="8" t="s">
        <v>52</v>
      </c>
      <c r="I5" s="21">
        <v>0</v>
      </c>
      <c r="J5" s="8" t="s">
        <v>52</v>
      </c>
      <c r="K5" s="21">
        <v>0</v>
      </c>
      <c r="L5" s="8" t="s">
        <v>52</v>
      </c>
      <c r="M5" s="21">
        <v>0</v>
      </c>
      <c r="N5" s="8" t="s">
        <v>52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59000</v>
      </c>
      <c r="V5" s="21">
        <f>SMALL(Q5:U5,COUNTIF(Q5:U5,0)+1)</f>
        <v>59000</v>
      </c>
      <c r="W5" s="8" t="s">
        <v>540</v>
      </c>
      <c r="X5" s="8" t="s">
        <v>311</v>
      </c>
      <c r="Y5" s="2" t="s">
        <v>52</v>
      </c>
      <c r="Z5" s="2" t="s">
        <v>52</v>
      </c>
      <c r="AA5" s="22"/>
      <c r="AB5" s="2" t="s">
        <v>52</v>
      </c>
    </row>
    <row r="6" spans="1:28" ht="30" customHeight="1">
      <c r="A6" s="8" t="s">
        <v>312</v>
      </c>
      <c r="B6" s="8" t="s">
        <v>304</v>
      </c>
      <c r="C6" s="8" t="s">
        <v>305</v>
      </c>
      <c r="D6" s="20" t="s">
        <v>310</v>
      </c>
      <c r="E6" s="21">
        <v>0</v>
      </c>
      <c r="F6" s="8" t="s">
        <v>52</v>
      </c>
      <c r="G6" s="21">
        <v>0</v>
      </c>
      <c r="H6" s="8" t="s">
        <v>52</v>
      </c>
      <c r="I6" s="21">
        <v>0</v>
      </c>
      <c r="J6" s="8" t="s">
        <v>52</v>
      </c>
      <c r="K6" s="21">
        <v>0</v>
      </c>
      <c r="L6" s="8" t="s">
        <v>52</v>
      </c>
      <c r="M6" s="21">
        <v>0</v>
      </c>
      <c r="N6" s="8" t="s">
        <v>52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71333</v>
      </c>
      <c r="V6" s="21">
        <f>SMALL(Q6:U6,COUNTIF(Q6:U6,0)+1)</f>
        <v>71333</v>
      </c>
      <c r="W6" s="8" t="s">
        <v>541</v>
      </c>
      <c r="X6" s="8" t="s">
        <v>311</v>
      </c>
      <c r="Y6" s="2" t="s">
        <v>52</v>
      </c>
      <c r="Z6" s="2" t="s">
        <v>52</v>
      </c>
      <c r="AA6" s="22"/>
      <c r="AB6" s="2" t="s">
        <v>52</v>
      </c>
    </row>
    <row r="7" spans="1:28" ht="30" customHeight="1">
      <c r="A7" s="8" t="s">
        <v>421</v>
      </c>
      <c r="B7" s="8" t="s">
        <v>304</v>
      </c>
      <c r="C7" s="8" t="s">
        <v>390</v>
      </c>
      <c r="D7" s="20" t="s">
        <v>310</v>
      </c>
      <c r="E7" s="21">
        <v>0</v>
      </c>
      <c r="F7" s="8" t="s">
        <v>52</v>
      </c>
      <c r="G7" s="21">
        <v>0</v>
      </c>
      <c r="H7" s="8" t="s">
        <v>52</v>
      </c>
      <c r="I7" s="21">
        <v>0</v>
      </c>
      <c r="J7" s="8" t="s">
        <v>52</v>
      </c>
      <c r="K7" s="21">
        <v>0</v>
      </c>
      <c r="L7" s="8" t="s">
        <v>52</v>
      </c>
      <c r="M7" s="21">
        <v>0</v>
      </c>
      <c r="N7" s="8" t="s">
        <v>52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102313</v>
      </c>
      <c r="V7" s="21">
        <f>SMALL(Q7:U7,COUNTIF(Q7:U7,0)+1)</f>
        <v>102313</v>
      </c>
      <c r="W7" s="8" t="s">
        <v>542</v>
      </c>
      <c r="X7" s="8" t="s">
        <v>311</v>
      </c>
      <c r="Y7" s="2" t="s">
        <v>52</v>
      </c>
      <c r="Z7" s="2" t="s">
        <v>52</v>
      </c>
      <c r="AA7" s="22"/>
      <c r="AB7" s="2" t="s">
        <v>52</v>
      </c>
    </row>
    <row r="8" spans="1:28" ht="30" customHeight="1">
      <c r="A8" s="8" t="s">
        <v>413</v>
      </c>
      <c r="B8" s="8" t="s">
        <v>349</v>
      </c>
      <c r="C8" s="8" t="s">
        <v>350</v>
      </c>
      <c r="D8" s="20" t="s">
        <v>310</v>
      </c>
      <c r="E8" s="21">
        <v>0</v>
      </c>
      <c r="F8" s="8" t="s">
        <v>52</v>
      </c>
      <c r="G8" s="21">
        <v>0</v>
      </c>
      <c r="H8" s="8" t="s">
        <v>52</v>
      </c>
      <c r="I8" s="21">
        <v>0</v>
      </c>
      <c r="J8" s="8" t="s">
        <v>52</v>
      </c>
      <c r="K8" s="21">
        <v>0</v>
      </c>
      <c r="L8" s="8" t="s">
        <v>52</v>
      </c>
      <c r="M8" s="21">
        <v>0</v>
      </c>
      <c r="N8" s="8" t="s">
        <v>52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5948</v>
      </c>
      <c r="V8" s="21">
        <f>SMALL(Q8:U8,COUNTIF(Q8:U8,0)+1)</f>
        <v>5948</v>
      </c>
      <c r="W8" s="8" t="s">
        <v>543</v>
      </c>
      <c r="X8" s="8" t="s">
        <v>311</v>
      </c>
      <c r="Y8" s="2" t="s">
        <v>52</v>
      </c>
      <c r="Z8" s="2" t="s">
        <v>52</v>
      </c>
      <c r="AA8" s="22"/>
      <c r="AB8" s="2" t="s">
        <v>52</v>
      </c>
    </row>
    <row r="9" spans="1:28" ht="30" customHeight="1">
      <c r="A9" s="8" t="s">
        <v>331</v>
      </c>
      <c r="B9" s="8" t="s">
        <v>327</v>
      </c>
      <c r="C9" s="8" t="s">
        <v>328</v>
      </c>
      <c r="D9" s="20" t="s">
        <v>310</v>
      </c>
      <c r="E9" s="21">
        <v>0</v>
      </c>
      <c r="F9" s="8" t="s">
        <v>52</v>
      </c>
      <c r="G9" s="21">
        <v>0</v>
      </c>
      <c r="H9" s="8" t="s">
        <v>52</v>
      </c>
      <c r="I9" s="21">
        <v>0</v>
      </c>
      <c r="J9" s="8" t="s">
        <v>52</v>
      </c>
      <c r="K9" s="21">
        <v>0</v>
      </c>
      <c r="L9" s="8" t="s">
        <v>52</v>
      </c>
      <c r="M9" s="21">
        <v>0</v>
      </c>
      <c r="N9" s="8" t="s">
        <v>52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1428</v>
      </c>
      <c r="V9" s="21">
        <f>SMALL(Q9:U9,COUNTIF(Q9:U9,0)+1)</f>
        <v>1428</v>
      </c>
      <c r="W9" s="8" t="s">
        <v>544</v>
      </c>
      <c r="X9" s="8" t="s">
        <v>311</v>
      </c>
      <c r="Y9" s="2" t="s">
        <v>52</v>
      </c>
      <c r="Z9" s="2" t="s">
        <v>52</v>
      </c>
      <c r="AA9" s="22"/>
      <c r="AB9" s="2" t="s">
        <v>52</v>
      </c>
    </row>
    <row r="10" spans="1:28" ht="30" customHeight="1">
      <c r="A10" s="8" t="s">
        <v>118</v>
      </c>
      <c r="B10" s="8" t="s">
        <v>116</v>
      </c>
      <c r="C10" s="8" t="s">
        <v>117</v>
      </c>
      <c r="D10" s="20" t="s">
        <v>74</v>
      </c>
      <c r="E10" s="21">
        <v>0</v>
      </c>
      <c r="F10" s="8" t="s">
        <v>52</v>
      </c>
      <c r="G10" s="21">
        <v>0</v>
      </c>
      <c r="H10" s="8" t="s">
        <v>52</v>
      </c>
      <c r="I10" s="21">
        <v>0</v>
      </c>
      <c r="J10" s="8" t="s">
        <v>52</v>
      </c>
      <c r="K10" s="21">
        <v>288000</v>
      </c>
      <c r="L10" s="8" t="s">
        <v>545</v>
      </c>
      <c r="M10" s="21">
        <v>0</v>
      </c>
      <c r="N10" s="8" t="s">
        <v>52</v>
      </c>
      <c r="O10" s="21">
        <f>SMALL(E10:M10,COUNTIF(E10:M10,0)+1)</f>
        <v>288000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8" t="s">
        <v>546</v>
      </c>
      <c r="X10" s="8" t="s">
        <v>52</v>
      </c>
      <c r="Y10" s="2" t="s">
        <v>52</v>
      </c>
      <c r="Z10" s="2" t="s">
        <v>52</v>
      </c>
      <c r="AA10" s="22"/>
      <c r="AB10" s="2" t="s">
        <v>52</v>
      </c>
    </row>
    <row r="11" spans="1:28" ht="30" customHeight="1">
      <c r="A11" s="8" t="s">
        <v>122</v>
      </c>
      <c r="B11" s="8" t="s">
        <v>120</v>
      </c>
      <c r="C11" s="8" t="s">
        <v>121</v>
      </c>
      <c r="D11" s="20" t="s">
        <v>74</v>
      </c>
      <c r="E11" s="21">
        <v>0</v>
      </c>
      <c r="F11" s="8" t="s">
        <v>52</v>
      </c>
      <c r="G11" s="21">
        <v>28000</v>
      </c>
      <c r="H11" s="8" t="s">
        <v>547</v>
      </c>
      <c r="I11" s="21">
        <v>0</v>
      </c>
      <c r="J11" s="8" t="s">
        <v>52</v>
      </c>
      <c r="K11" s="21">
        <v>0</v>
      </c>
      <c r="L11" s="8" t="s">
        <v>52</v>
      </c>
      <c r="M11" s="21">
        <v>0</v>
      </c>
      <c r="N11" s="8" t="s">
        <v>52</v>
      </c>
      <c r="O11" s="21">
        <f>SMALL(E11:M11,COUNTIF(E11:M11,0)+1)</f>
        <v>28000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8" t="s">
        <v>548</v>
      </c>
      <c r="X11" s="8" t="s">
        <v>52</v>
      </c>
      <c r="Y11" s="2" t="s">
        <v>52</v>
      </c>
      <c r="Z11" s="2" t="s">
        <v>52</v>
      </c>
      <c r="AA11" s="22"/>
      <c r="AB11" s="2" t="s">
        <v>52</v>
      </c>
    </row>
    <row r="12" spans="1:28" ht="30" customHeight="1">
      <c r="A12" s="8" t="s">
        <v>471</v>
      </c>
      <c r="B12" s="8" t="s">
        <v>120</v>
      </c>
      <c r="C12" s="8" t="s">
        <v>365</v>
      </c>
      <c r="D12" s="20" t="s">
        <v>74</v>
      </c>
      <c r="E12" s="21">
        <v>0</v>
      </c>
      <c r="F12" s="8" t="s">
        <v>52</v>
      </c>
      <c r="G12" s="21">
        <v>0</v>
      </c>
      <c r="H12" s="8" t="s">
        <v>52</v>
      </c>
      <c r="I12" s="21">
        <v>0</v>
      </c>
      <c r="J12" s="8" t="s">
        <v>52</v>
      </c>
      <c r="K12" s="21">
        <v>0</v>
      </c>
      <c r="L12" s="8" t="s">
        <v>52</v>
      </c>
      <c r="M12" s="21">
        <v>0</v>
      </c>
      <c r="N12" s="8" t="s">
        <v>52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8" t="s">
        <v>549</v>
      </c>
      <c r="X12" s="8" t="s">
        <v>366</v>
      </c>
      <c r="Y12" s="2" t="s">
        <v>52</v>
      </c>
      <c r="Z12" s="2" t="s">
        <v>52</v>
      </c>
      <c r="AA12" s="22"/>
      <c r="AB12" s="2" t="s">
        <v>52</v>
      </c>
    </row>
    <row r="13" spans="1:28" ht="30" customHeight="1">
      <c r="A13" s="8" t="s">
        <v>367</v>
      </c>
      <c r="B13" s="8" t="s">
        <v>364</v>
      </c>
      <c r="C13" s="8" t="s">
        <v>365</v>
      </c>
      <c r="D13" s="20" t="s">
        <v>74</v>
      </c>
      <c r="E13" s="21">
        <v>0</v>
      </c>
      <c r="F13" s="8" t="s">
        <v>52</v>
      </c>
      <c r="G13" s="21">
        <v>0</v>
      </c>
      <c r="H13" s="8" t="s">
        <v>52</v>
      </c>
      <c r="I13" s="21">
        <v>0</v>
      </c>
      <c r="J13" s="8" t="s">
        <v>52</v>
      </c>
      <c r="K13" s="21">
        <v>28000</v>
      </c>
      <c r="L13" s="8" t="s">
        <v>550</v>
      </c>
      <c r="M13" s="21">
        <v>0</v>
      </c>
      <c r="N13" s="8" t="s">
        <v>52</v>
      </c>
      <c r="O13" s="21">
        <f t="shared" ref="O13:O19" si="0">SMALL(E13:M13,COUNTIF(E13:M13,0)+1)</f>
        <v>28000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8" t="s">
        <v>551</v>
      </c>
      <c r="X13" s="8" t="s">
        <v>52</v>
      </c>
      <c r="Y13" s="2" t="s">
        <v>52</v>
      </c>
      <c r="Z13" s="2" t="s">
        <v>52</v>
      </c>
      <c r="AA13" s="22"/>
      <c r="AB13" s="2" t="s">
        <v>52</v>
      </c>
    </row>
    <row r="14" spans="1:28" ht="30" customHeight="1">
      <c r="A14" s="8" t="s">
        <v>125</v>
      </c>
      <c r="B14" s="8" t="s">
        <v>124</v>
      </c>
      <c r="C14" s="8" t="s">
        <v>52</v>
      </c>
      <c r="D14" s="20" t="s">
        <v>74</v>
      </c>
      <c r="E14" s="21">
        <v>0</v>
      </c>
      <c r="F14" s="8" t="s">
        <v>52</v>
      </c>
      <c r="G14" s="21">
        <v>0</v>
      </c>
      <c r="H14" s="8" t="s">
        <v>52</v>
      </c>
      <c r="I14" s="21">
        <v>0</v>
      </c>
      <c r="J14" s="8" t="s">
        <v>52</v>
      </c>
      <c r="K14" s="21">
        <v>45800</v>
      </c>
      <c r="L14" s="8" t="s">
        <v>552</v>
      </c>
      <c r="M14" s="21">
        <v>0</v>
      </c>
      <c r="N14" s="8" t="s">
        <v>52</v>
      </c>
      <c r="O14" s="21">
        <f t="shared" si="0"/>
        <v>45800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8" t="s">
        <v>553</v>
      </c>
      <c r="X14" s="8" t="s">
        <v>52</v>
      </c>
      <c r="Y14" s="2" t="s">
        <v>52</v>
      </c>
      <c r="Z14" s="2" t="s">
        <v>52</v>
      </c>
      <c r="AA14" s="22"/>
      <c r="AB14" s="2" t="s">
        <v>52</v>
      </c>
    </row>
    <row r="15" spans="1:28" ht="30" customHeight="1">
      <c r="A15" s="8" t="s">
        <v>371</v>
      </c>
      <c r="B15" s="8" t="s">
        <v>369</v>
      </c>
      <c r="C15" s="8" t="s">
        <v>370</v>
      </c>
      <c r="D15" s="20" t="s">
        <v>74</v>
      </c>
      <c r="E15" s="21">
        <v>0</v>
      </c>
      <c r="F15" s="8" t="s">
        <v>52</v>
      </c>
      <c r="G15" s="21">
        <v>0</v>
      </c>
      <c r="H15" s="8" t="s">
        <v>52</v>
      </c>
      <c r="I15" s="21">
        <v>0</v>
      </c>
      <c r="J15" s="8" t="s">
        <v>52</v>
      </c>
      <c r="K15" s="21">
        <v>20000</v>
      </c>
      <c r="L15" s="8" t="s">
        <v>550</v>
      </c>
      <c r="M15" s="21">
        <v>0</v>
      </c>
      <c r="N15" s="8" t="s">
        <v>52</v>
      </c>
      <c r="O15" s="21">
        <f t="shared" si="0"/>
        <v>20000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8" t="s">
        <v>554</v>
      </c>
      <c r="X15" s="8" t="s">
        <v>366</v>
      </c>
      <c r="Y15" s="2" t="s">
        <v>52</v>
      </c>
      <c r="Z15" s="2" t="s">
        <v>52</v>
      </c>
      <c r="AA15" s="22"/>
      <c r="AB15" s="2" t="s">
        <v>52</v>
      </c>
    </row>
    <row r="16" spans="1:28" ht="30" customHeight="1">
      <c r="A16" s="8" t="s">
        <v>431</v>
      </c>
      <c r="B16" s="8" t="s">
        <v>429</v>
      </c>
      <c r="C16" s="8" t="s">
        <v>430</v>
      </c>
      <c r="D16" s="20" t="s">
        <v>74</v>
      </c>
      <c r="E16" s="21">
        <v>0</v>
      </c>
      <c r="F16" s="8" t="s">
        <v>52</v>
      </c>
      <c r="G16" s="21">
        <v>0</v>
      </c>
      <c r="H16" s="8" t="s">
        <v>52</v>
      </c>
      <c r="I16" s="21">
        <v>0</v>
      </c>
      <c r="J16" s="8" t="s">
        <v>52</v>
      </c>
      <c r="K16" s="21">
        <v>35000</v>
      </c>
      <c r="L16" s="8" t="s">
        <v>550</v>
      </c>
      <c r="M16" s="21">
        <v>0</v>
      </c>
      <c r="N16" s="8" t="s">
        <v>52</v>
      </c>
      <c r="O16" s="21">
        <f t="shared" si="0"/>
        <v>35000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8" t="s">
        <v>555</v>
      </c>
      <c r="X16" s="8" t="s">
        <v>366</v>
      </c>
      <c r="Y16" s="2" t="s">
        <v>52</v>
      </c>
      <c r="Z16" s="2" t="s">
        <v>52</v>
      </c>
      <c r="AA16" s="22"/>
      <c r="AB16" s="2" t="s">
        <v>52</v>
      </c>
    </row>
    <row r="17" spans="1:28" ht="30" customHeight="1">
      <c r="A17" s="8" t="s">
        <v>492</v>
      </c>
      <c r="B17" s="8" t="s">
        <v>489</v>
      </c>
      <c r="C17" s="8" t="s">
        <v>490</v>
      </c>
      <c r="D17" s="20" t="s">
        <v>105</v>
      </c>
      <c r="E17" s="21">
        <v>7577</v>
      </c>
      <c r="F17" s="8" t="s">
        <v>52</v>
      </c>
      <c r="G17" s="21">
        <v>9002.9500000000007</v>
      </c>
      <c r="H17" s="8" t="s">
        <v>556</v>
      </c>
      <c r="I17" s="21">
        <v>8011.95</v>
      </c>
      <c r="J17" s="8" t="s">
        <v>557</v>
      </c>
      <c r="K17" s="21">
        <v>0</v>
      </c>
      <c r="L17" s="8" t="s">
        <v>52</v>
      </c>
      <c r="M17" s="21">
        <v>0</v>
      </c>
      <c r="N17" s="8" t="s">
        <v>52</v>
      </c>
      <c r="O17" s="21">
        <f t="shared" si="0"/>
        <v>7577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8" t="s">
        <v>558</v>
      </c>
      <c r="X17" s="8" t="s">
        <v>52</v>
      </c>
      <c r="Y17" s="2" t="s">
        <v>52</v>
      </c>
      <c r="Z17" s="2" t="s">
        <v>52</v>
      </c>
      <c r="AA17" s="22"/>
      <c r="AB17" s="2" t="s">
        <v>52</v>
      </c>
    </row>
    <row r="18" spans="1:28" ht="30" customHeight="1">
      <c r="A18" s="8" t="s">
        <v>317</v>
      </c>
      <c r="B18" s="249" t="s">
        <v>314</v>
      </c>
      <c r="C18" s="249" t="s">
        <v>315</v>
      </c>
      <c r="D18" s="254" t="s">
        <v>316</v>
      </c>
      <c r="E18" s="255">
        <v>0</v>
      </c>
      <c r="F18" s="249" t="s">
        <v>52</v>
      </c>
      <c r="G18" s="255">
        <v>1320.9</v>
      </c>
      <c r="H18" s="249" t="s">
        <v>559</v>
      </c>
      <c r="I18" s="255">
        <v>1252</v>
      </c>
      <c r="J18" s="249" t="s">
        <v>560</v>
      </c>
      <c r="K18" s="255">
        <v>1017</v>
      </c>
      <c r="L18" s="249" t="s">
        <v>52</v>
      </c>
      <c r="M18" s="255">
        <v>0</v>
      </c>
      <c r="N18" s="249" t="s">
        <v>52</v>
      </c>
      <c r="O18" s="255">
        <f t="shared" si="0"/>
        <v>1017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8" t="s">
        <v>561</v>
      </c>
      <c r="X18" s="8" t="s">
        <v>562</v>
      </c>
      <c r="Y18" s="2" t="s">
        <v>52</v>
      </c>
      <c r="Z18" s="2" t="s">
        <v>52</v>
      </c>
      <c r="AA18" s="22"/>
      <c r="AB18" s="2" t="s">
        <v>52</v>
      </c>
    </row>
    <row r="19" spans="1:28" ht="30" customHeight="1">
      <c r="A19" s="8" t="s">
        <v>335</v>
      </c>
      <c r="B19" s="249" t="s">
        <v>333</v>
      </c>
      <c r="C19" s="249" t="s">
        <v>334</v>
      </c>
      <c r="D19" s="254" t="s">
        <v>316</v>
      </c>
      <c r="E19" s="255">
        <v>0</v>
      </c>
      <c r="F19" s="249" t="s">
        <v>52</v>
      </c>
      <c r="G19" s="255">
        <v>1466.36</v>
      </c>
      <c r="H19" s="249" t="s">
        <v>559</v>
      </c>
      <c r="I19" s="255">
        <v>1445</v>
      </c>
      <c r="J19" s="249" t="s">
        <v>560</v>
      </c>
      <c r="K19" s="255">
        <v>1198.9000000000001</v>
      </c>
      <c r="L19" s="249" t="s">
        <v>52</v>
      </c>
      <c r="M19" s="255">
        <v>0</v>
      </c>
      <c r="N19" s="249" t="s">
        <v>52</v>
      </c>
      <c r="O19" s="255">
        <f t="shared" si="0"/>
        <v>1198.9000000000001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8" t="s">
        <v>563</v>
      </c>
      <c r="X19" s="8" t="s">
        <v>562</v>
      </c>
      <c r="Y19" s="2" t="s">
        <v>52</v>
      </c>
      <c r="Z19" s="2" t="s">
        <v>52</v>
      </c>
      <c r="AA19" s="22"/>
      <c r="AB19" s="2" t="s">
        <v>52</v>
      </c>
    </row>
    <row r="20" spans="1:28" ht="30" customHeight="1">
      <c r="A20" s="8" t="s">
        <v>289</v>
      </c>
      <c r="B20" s="8" t="s">
        <v>287</v>
      </c>
      <c r="C20" s="8" t="s">
        <v>288</v>
      </c>
      <c r="D20" s="20" t="s">
        <v>161</v>
      </c>
      <c r="E20" s="21">
        <v>0</v>
      </c>
      <c r="F20" s="8" t="s">
        <v>52</v>
      </c>
      <c r="G20" s="21">
        <v>0</v>
      </c>
      <c r="H20" s="8" t="s">
        <v>52</v>
      </c>
      <c r="I20" s="21">
        <v>0</v>
      </c>
      <c r="J20" s="8" t="s">
        <v>52</v>
      </c>
      <c r="K20" s="21">
        <v>0</v>
      </c>
      <c r="L20" s="8" t="s">
        <v>52</v>
      </c>
      <c r="M20" s="21">
        <v>0</v>
      </c>
      <c r="N20" s="8" t="s">
        <v>52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10050</v>
      </c>
      <c r="U20" s="21">
        <v>0</v>
      </c>
      <c r="V20" s="21">
        <f>SMALL(Q20:U20,COUNTIF(Q20:U20,0)+1)</f>
        <v>10050</v>
      </c>
      <c r="W20" s="8" t="s">
        <v>564</v>
      </c>
      <c r="X20" s="8" t="s">
        <v>52</v>
      </c>
      <c r="Y20" s="2" t="s">
        <v>52</v>
      </c>
      <c r="Z20" s="2" t="s">
        <v>52</v>
      </c>
      <c r="AA20" s="22"/>
      <c r="AB20" s="2" t="s">
        <v>52</v>
      </c>
    </row>
    <row r="21" spans="1:28" ht="30" customHeight="1">
      <c r="A21" s="8" t="s">
        <v>292</v>
      </c>
      <c r="B21" s="8" t="s">
        <v>287</v>
      </c>
      <c r="C21" s="8" t="s">
        <v>291</v>
      </c>
      <c r="D21" s="20" t="s">
        <v>161</v>
      </c>
      <c r="E21" s="21">
        <v>0</v>
      </c>
      <c r="F21" s="8" t="s">
        <v>52</v>
      </c>
      <c r="G21" s="21">
        <v>0</v>
      </c>
      <c r="H21" s="8" t="s">
        <v>52</v>
      </c>
      <c r="I21" s="21">
        <v>0</v>
      </c>
      <c r="J21" s="8" t="s">
        <v>52</v>
      </c>
      <c r="K21" s="21">
        <v>0</v>
      </c>
      <c r="L21" s="8" t="s">
        <v>52</v>
      </c>
      <c r="M21" s="21">
        <v>0</v>
      </c>
      <c r="N21" s="8" t="s">
        <v>52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4840</v>
      </c>
      <c r="U21" s="21">
        <v>0</v>
      </c>
      <c r="V21" s="21">
        <f>SMALL(Q21:U21,COUNTIF(Q21:U21,0)+1)</f>
        <v>4840</v>
      </c>
      <c r="W21" s="8" t="s">
        <v>565</v>
      </c>
      <c r="X21" s="8" t="s">
        <v>52</v>
      </c>
      <c r="Y21" s="2" t="s">
        <v>52</v>
      </c>
      <c r="Z21" s="2" t="s">
        <v>52</v>
      </c>
      <c r="AA21" s="22"/>
      <c r="AB21" s="2" t="s">
        <v>52</v>
      </c>
    </row>
    <row r="22" spans="1:28" ht="30" customHeight="1">
      <c r="A22" s="8" t="s">
        <v>300</v>
      </c>
      <c r="B22" s="8" t="s">
        <v>287</v>
      </c>
      <c r="C22" s="8" t="s">
        <v>299</v>
      </c>
      <c r="D22" s="20" t="s">
        <v>299</v>
      </c>
      <c r="E22" s="21">
        <v>0</v>
      </c>
      <c r="F22" s="8" t="s">
        <v>52</v>
      </c>
      <c r="G22" s="21">
        <v>0</v>
      </c>
      <c r="H22" s="8" t="s">
        <v>52</v>
      </c>
      <c r="I22" s="21">
        <v>0</v>
      </c>
      <c r="J22" s="8" t="s">
        <v>52</v>
      </c>
      <c r="K22" s="21">
        <v>0</v>
      </c>
      <c r="L22" s="8" t="s">
        <v>52</v>
      </c>
      <c r="M22" s="21">
        <v>0</v>
      </c>
      <c r="N22" s="8" t="s">
        <v>52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15368</v>
      </c>
      <c r="U22" s="21">
        <v>0</v>
      </c>
      <c r="V22" s="21">
        <f>SMALL(Q22:U22,COUNTIF(Q22:U22,0)+1)</f>
        <v>15368</v>
      </c>
      <c r="W22" s="8" t="s">
        <v>566</v>
      </c>
      <c r="X22" s="8" t="s">
        <v>52</v>
      </c>
      <c r="Y22" s="2" t="s">
        <v>52</v>
      </c>
      <c r="Z22" s="2" t="s">
        <v>52</v>
      </c>
      <c r="AA22" s="22"/>
      <c r="AB22" s="2" t="s">
        <v>52</v>
      </c>
    </row>
    <row r="23" spans="1:28" ht="30" customHeight="1">
      <c r="A23" s="8" t="s">
        <v>297</v>
      </c>
      <c r="B23" s="8" t="s">
        <v>294</v>
      </c>
      <c r="C23" s="8" t="s">
        <v>295</v>
      </c>
      <c r="D23" s="20" t="s">
        <v>296</v>
      </c>
      <c r="E23" s="21">
        <v>0</v>
      </c>
      <c r="F23" s="8" t="s">
        <v>52</v>
      </c>
      <c r="G23" s="21">
        <v>0</v>
      </c>
      <c r="H23" s="8" t="s">
        <v>52</v>
      </c>
      <c r="I23" s="21">
        <v>0</v>
      </c>
      <c r="J23" s="8" t="s">
        <v>52</v>
      </c>
      <c r="K23" s="21">
        <v>50</v>
      </c>
      <c r="L23" s="8" t="s">
        <v>52</v>
      </c>
      <c r="M23" s="21">
        <v>0</v>
      </c>
      <c r="N23" s="8" t="s">
        <v>52</v>
      </c>
      <c r="O23" s="21">
        <f>SMALL(E23:M23,COUNTIF(E23:M23,0)+1)</f>
        <v>50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8" t="s">
        <v>567</v>
      </c>
      <c r="X23" s="8" t="s">
        <v>52</v>
      </c>
      <c r="Y23" s="2" t="s">
        <v>52</v>
      </c>
      <c r="Z23" s="2" t="s">
        <v>52</v>
      </c>
      <c r="AA23" s="22"/>
      <c r="AB23" s="2" t="s">
        <v>52</v>
      </c>
    </row>
    <row r="24" spans="1:28" ht="30" customHeight="1">
      <c r="A24" s="8" t="s">
        <v>198</v>
      </c>
      <c r="B24" s="8" t="s">
        <v>196</v>
      </c>
      <c r="C24" s="8" t="s">
        <v>197</v>
      </c>
      <c r="D24" s="20" t="s">
        <v>74</v>
      </c>
      <c r="E24" s="21">
        <v>365375</v>
      </c>
      <c r="F24" s="8" t="s">
        <v>52</v>
      </c>
      <c r="G24" s="21">
        <v>449101.79</v>
      </c>
      <c r="H24" s="8" t="s">
        <v>568</v>
      </c>
      <c r="I24" s="21">
        <v>377544.91</v>
      </c>
      <c r="J24" s="8" t="s">
        <v>569</v>
      </c>
      <c r="K24" s="21">
        <v>0</v>
      </c>
      <c r="L24" s="8" t="s">
        <v>52</v>
      </c>
      <c r="M24" s="21">
        <v>0</v>
      </c>
      <c r="N24" s="8" t="s">
        <v>52</v>
      </c>
      <c r="O24" s="21">
        <f>SMALL(E24:M24,COUNTIF(E24:M24,0)+1)</f>
        <v>365375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8" t="s">
        <v>570</v>
      </c>
      <c r="X24" s="8" t="s">
        <v>52</v>
      </c>
      <c r="Y24" s="2" t="s">
        <v>52</v>
      </c>
      <c r="Z24" s="2" t="s">
        <v>52</v>
      </c>
      <c r="AA24" s="22"/>
      <c r="AB24" s="2" t="s">
        <v>52</v>
      </c>
    </row>
    <row r="25" spans="1:28" ht="30" customHeight="1">
      <c r="A25" s="8" t="s">
        <v>442</v>
      </c>
      <c r="B25" s="8" t="s">
        <v>440</v>
      </c>
      <c r="C25" s="8" t="s">
        <v>441</v>
      </c>
      <c r="D25" s="20" t="s">
        <v>202</v>
      </c>
      <c r="E25" s="21">
        <v>0</v>
      </c>
      <c r="F25" s="8" t="s">
        <v>52</v>
      </c>
      <c r="G25" s="21">
        <v>0</v>
      </c>
      <c r="H25" s="8" t="s">
        <v>52</v>
      </c>
      <c r="I25" s="21">
        <v>0</v>
      </c>
      <c r="J25" s="8" t="s">
        <v>52</v>
      </c>
      <c r="K25" s="21">
        <v>248</v>
      </c>
      <c r="L25" s="8" t="s">
        <v>571</v>
      </c>
      <c r="M25" s="21">
        <v>0</v>
      </c>
      <c r="N25" s="8" t="s">
        <v>52</v>
      </c>
      <c r="O25" s="21">
        <f>SMALL(E25:M25,COUNTIF(E25:M25,0)+1)</f>
        <v>248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8" t="s">
        <v>572</v>
      </c>
      <c r="X25" s="8" t="s">
        <v>366</v>
      </c>
      <c r="Y25" s="2" t="s">
        <v>52</v>
      </c>
      <c r="Z25" s="2" t="s">
        <v>52</v>
      </c>
      <c r="AA25" s="22"/>
      <c r="AB25" s="2" t="s">
        <v>52</v>
      </c>
    </row>
    <row r="26" spans="1:28" ht="30" customHeight="1">
      <c r="A26" s="8" t="s">
        <v>194</v>
      </c>
      <c r="B26" s="8" t="s">
        <v>191</v>
      </c>
      <c r="C26" s="8" t="s">
        <v>192</v>
      </c>
      <c r="D26" s="20" t="s">
        <v>193</v>
      </c>
      <c r="E26" s="21">
        <v>0</v>
      </c>
      <c r="F26" s="8" t="s">
        <v>52</v>
      </c>
      <c r="G26" s="21">
        <v>0</v>
      </c>
      <c r="H26" s="8" t="s">
        <v>52</v>
      </c>
      <c r="I26" s="21">
        <v>0</v>
      </c>
      <c r="J26" s="8" t="s">
        <v>52</v>
      </c>
      <c r="K26" s="21">
        <v>636</v>
      </c>
      <c r="L26" s="8" t="s">
        <v>52</v>
      </c>
      <c r="M26" s="21">
        <v>0</v>
      </c>
      <c r="N26" s="8" t="s">
        <v>52</v>
      </c>
      <c r="O26" s="21">
        <f>SMALL(E26:M26,COUNTIF(E26:M26,0)+1)</f>
        <v>636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8" t="s">
        <v>573</v>
      </c>
      <c r="X26" s="8" t="s">
        <v>52</v>
      </c>
      <c r="Y26" s="2" t="s">
        <v>52</v>
      </c>
      <c r="Z26" s="2" t="s">
        <v>52</v>
      </c>
      <c r="AA26" s="22"/>
      <c r="AB26" s="2" t="s">
        <v>52</v>
      </c>
    </row>
    <row r="27" spans="1:28" ht="30" customHeight="1">
      <c r="A27" s="8" t="s">
        <v>362</v>
      </c>
      <c r="B27" s="8" t="s">
        <v>360</v>
      </c>
      <c r="C27" s="8" t="s">
        <v>361</v>
      </c>
      <c r="D27" s="20" t="s">
        <v>202</v>
      </c>
      <c r="E27" s="21">
        <v>0</v>
      </c>
      <c r="F27" s="8" t="s">
        <v>52</v>
      </c>
      <c r="G27" s="21">
        <v>0</v>
      </c>
      <c r="H27" s="8" t="s">
        <v>52</v>
      </c>
      <c r="I27" s="21">
        <v>0</v>
      </c>
      <c r="J27" s="8" t="s">
        <v>52</v>
      </c>
      <c r="K27" s="21">
        <v>140</v>
      </c>
      <c r="L27" s="8" t="s">
        <v>574</v>
      </c>
      <c r="M27" s="21">
        <v>0</v>
      </c>
      <c r="N27" s="8" t="s">
        <v>52</v>
      </c>
      <c r="O27" s="21">
        <f>SMALL(E27:M27,COUNTIF(E27:M27,0)+1)</f>
        <v>140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8" t="s">
        <v>575</v>
      </c>
      <c r="X27" s="8" t="s">
        <v>52</v>
      </c>
      <c r="Y27" s="2" t="s">
        <v>52</v>
      </c>
      <c r="Z27" s="2" t="s">
        <v>52</v>
      </c>
      <c r="AA27" s="22"/>
      <c r="AB27" s="2" t="s">
        <v>52</v>
      </c>
    </row>
    <row r="28" spans="1:28" ht="30" customHeight="1">
      <c r="A28" s="8" t="s">
        <v>468</v>
      </c>
      <c r="B28" s="8" t="s">
        <v>360</v>
      </c>
      <c r="C28" s="8" t="s">
        <v>52</v>
      </c>
      <c r="D28" s="20" t="s">
        <v>202</v>
      </c>
      <c r="E28" s="21">
        <v>0</v>
      </c>
      <c r="F28" s="8" t="s">
        <v>52</v>
      </c>
      <c r="G28" s="21">
        <v>0</v>
      </c>
      <c r="H28" s="8" t="s">
        <v>52</v>
      </c>
      <c r="I28" s="21">
        <v>0</v>
      </c>
      <c r="J28" s="8" t="s">
        <v>52</v>
      </c>
      <c r="K28" s="21">
        <v>0</v>
      </c>
      <c r="L28" s="8" t="s">
        <v>576</v>
      </c>
      <c r="M28" s="21">
        <v>0</v>
      </c>
      <c r="N28" s="8" t="s">
        <v>52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8" t="s">
        <v>577</v>
      </c>
      <c r="X28" s="8" t="s">
        <v>52</v>
      </c>
      <c r="Y28" s="2" t="s">
        <v>52</v>
      </c>
      <c r="Z28" s="2" t="s">
        <v>52</v>
      </c>
      <c r="AA28" s="22"/>
      <c r="AB28" s="2" t="s">
        <v>52</v>
      </c>
    </row>
    <row r="29" spans="1:28" ht="30" customHeight="1">
      <c r="A29" s="8" t="s">
        <v>358</v>
      </c>
      <c r="B29" s="8" t="s">
        <v>356</v>
      </c>
      <c r="C29" s="8" t="s">
        <v>357</v>
      </c>
      <c r="D29" s="20" t="s">
        <v>74</v>
      </c>
      <c r="E29" s="21">
        <v>0</v>
      </c>
      <c r="F29" s="8" t="s">
        <v>52</v>
      </c>
      <c r="G29" s="21">
        <v>0</v>
      </c>
      <c r="H29" s="8" t="s">
        <v>52</v>
      </c>
      <c r="I29" s="21">
        <v>0</v>
      </c>
      <c r="J29" s="8" t="s">
        <v>52</v>
      </c>
      <c r="K29" s="21">
        <v>12000</v>
      </c>
      <c r="L29" s="8" t="s">
        <v>576</v>
      </c>
      <c r="M29" s="21">
        <v>0</v>
      </c>
      <c r="N29" s="8" t="s">
        <v>52</v>
      </c>
      <c r="O29" s="21">
        <f>SMALL(E29:M29,COUNTIF(E29:M29,0)+1)</f>
        <v>12000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8" t="s">
        <v>578</v>
      </c>
      <c r="X29" s="8" t="s">
        <v>52</v>
      </c>
      <c r="Y29" s="2" t="s">
        <v>52</v>
      </c>
      <c r="Z29" s="2" t="s">
        <v>52</v>
      </c>
      <c r="AA29" s="22"/>
      <c r="AB29" s="2" t="s">
        <v>52</v>
      </c>
    </row>
    <row r="30" spans="1:28" ht="30" customHeight="1">
      <c r="A30" s="8" t="s">
        <v>203</v>
      </c>
      <c r="B30" s="8" t="s">
        <v>200</v>
      </c>
      <c r="C30" s="8" t="s">
        <v>201</v>
      </c>
      <c r="D30" s="20" t="s">
        <v>202</v>
      </c>
      <c r="E30" s="21">
        <v>1093</v>
      </c>
      <c r="F30" s="8" t="s">
        <v>52</v>
      </c>
      <c r="G30" s="21">
        <v>1150.8</v>
      </c>
      <c r="H30" s="8" t="s">
        <v>579</v>
      </c>
      <c r="I30" s="21">
        <v>1306.25</v>
      </c>
      <c r="J30" s="8" t="s">
        <v>580</v>
      </c>
      <c r="K30" s="21">
        <v>0</v>
      </c>
      <c r="L30" s="8" t="s">
        <v>52</v>
      </c>
      <c r="M30" s="21">
        <v>0</v>
      </c>
      <c r="N30" s="8" t="s">
        <v>52</v>
      </c>
      <c r="O30" s="21">
        <f>SMALL(E30:M30,COUNTIF(E30:M30,0)+1)</f>
        <v>1093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8" t="s">
        <v>581</v>
      </c>
      <c r="X30" s="8" t="s">
        <v>52</v>
      </c>
      <c r="Y30" s="2" t="s">
        <v>52</v>
      </c>
      <c r="Z30" s="2" t="s">
        <v>52</v>
      </c>
      <c r="AA30" s="22"/>
      <c r="AB30" s="2" t="s">
        <v>52</v>
      </c>
    </row>
    <row r="31" spans="1:28" ht="30" customHeight="1">
      <c r="A31" s="8" t="s">
        <v>582</v>
      </c>
      <c r="B31" s="8" t="s">
        <v>583</v>
      </c>
      <c r="C31" s="8" t="s">
        <v>584</v>
      </c>
      <c r="D31" s="20" t="s">
        <v>310</v>
      </c>
      <c r="E31" s="21">
        <v>0</v>
      </c>
      <c r="F31" s="8" t="s">
        <v>52</v>
      </c>
      <c r="G31" s="21">
        <v>0</v>
      </c>
      <c r="H31" s="8" t="s">
        <v>52</v>
      </c>
      <c r="I31" s="21">
        <v>0</v>
      </c>
      <c r="J31" s="8" t="s">
        <v>52</v>
      </c>
      <c r="K31" s="21">
        <v>0</v>
      </c>
      <c r="L31" s="8" t="s">
        <v>52</v>
      </c>
      <c r="M31" s="21">
        <v>0</v>
      </c>
      <c r="N31" s="8" t="s">
        <v>52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111240</v>
      </c>
      <c r="U31" s="21">
        <v>0</v>
      </c>
      <c r="V31" s="21">
        <f>SMALL(Q31:U31,COUNTIF(Q31:U31,0)+1)</f>
        <v>111240</v>
      </c>
      <c r="W31" s="8" t="s">
        <v>585</v>
      </c>
      <c r="X31" s="8" t="s">
        <v>52</v>
      </c>
      <c r="Y31" s="2" t="s">
        <v>518</v>
      </c>
      <c r="Z31" s="2" t="s">
        <v>52</v>
      </c>
      <c r="AA31" s="22"/>
      <c r="AB31" s="2" t="s">
        <v>52</v>
      </c>
    </row>
    <row r="32" spans="1:28" ht="30" customHeight="1">
      <c r="A32" s="8" t="s">
        <v>142</v>
      </c>
      <c r="B32" s="8" t="s">
        <v>141</v>
      </c>
      <c r="C32" s="8" t="s">
        <v>52</v>
      </c>
      <c r="D32" s="20" t="s">
        <v>138</v>
      </c>
      <c r="E32" s="21">
        <v>0</v>
      </c>
      <c r="F32" s="8" t="s">
        <v>52</v>
      </c>
      <c r="G32" s="21">
        <v>0</v>
      </c>
      <c r="H32" s="8" t="s">
        <v>52</v>
      </c>
      <c r="I32" s="21">
        <v>0</v>
      </c>
      <c r="J32" s="8" t="s">
        <v>52</v>
      </c>
      <c r="K32" s="21">
        <v>0</v>
      </c>
      <c r="L32" s="8" t="s">
        <v>52</v>
      </c>
      <c r="M32" s="21">
        <v>0</v>
      </c>
      <c r="N32" s="8" t="s">
        <v>52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4734</v>
      </c>
      <c r="U32" s="21">
        <v>0</v>
      </c>
      <c r="V32" s="21">
        <f>SMALL(Q32:U32,COUNTIF(Q32:U32,0)+1)</f>
        <v>4734</v>
      </c>
      <c r="W32" s="8" t="s">
        <v>586</v>
      </c>
      <c r="X32" s="8" t="s">
        <v>52</v>
      </c>
      <c r="Y32" s="2" t="s">
        <v>518</v>
      </c>
      <c r="Z32" s="2" t="s">
        <v>52</v>
      </c>
      <c r="AA32" s="22"/>
      <c r="AB32" s="2" t="s">
        <v>52</v>
      </c>
    </row>
    <row r="33" spans="1:28" ht="30" customHeight="1">
      <c r="A33" s="8" t="s">
        <v>145</v>
      </c>
      <c r="B33" s="8" t="s">
        <v>144</v>
      </c>
      <c r="C33" s="8" t="s">
        <v>52</v>
      </c>
      <c r="D33" s="20" t="s">
        <v>138</v>
      </c>
      <c r="E33" s="21">
        <v>0</v>
      </c>
      <c r="F33" s="8" t="s">
        <v>52</v>
      </c>
      <c r="G33" s="21">
        <v>0</v>
      </c>
      <c r="H33" s="8" t="s">
        <v>52</v>
      </c>
      <c r="I33" s="21">
        <v>0</v>
      </c>
      <c r="J33" s="8" t="s">
        <v>52</v>
      </c>
      <c r="K33" s="21">
        <v>0</v>
      </c>
      <c r="L33" s="8" t="s">
        <v>52</v>
      </c>
      <c r="M33" s="21">
        <v>0</v>
      </c>
      <c r="N33" s="8" t="s">
        <v>52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4734</v>
      </c>
      <c r="U33" s="21">
        <v>0</v>
      </c>
      <c r="V33" s="21">
        <f>SMALL(Q33:U33,COUNTIF(Q33:U33,0)+1)</f>
        <v>4734</v>
      </c>
      <c r="W33" s="8" t="s">
        <v>587</v>
      </c>
      <c r="X33" s="8" t="s">
        <v>52</v>
      </c>
      <c r="Y33" s="2" t="s">
        <v>518</v>
      </c>
      <c r="Z33" s="2" t="s">
        <v>52</v>
      </c>
      <c r="AA33" s="22"/>
      <c r="AB33" s="2" t="s">
        <v>52</v>
      </c>
    </row>
    <row r="34" spans="1:28" ht="30" customHeight="1">
      <c r="A34" s="8" t="s">
        <v>189</v>
      </c>
      <c r="B34" s="249" t="s">
        <v>186</v>
      </c>
      <c r="C34" s="249" t="s">
        <v>187</v>
      </c>
      <c r="D34" s="254" t="s">
        <v>188</v>
      </c>
      <c r="E34" s="255">
        <v>0</v>
      </c>
      <c r="F34" s="249" t="s">
        <v>52</v>
      </c>
      <c r="G34" s="255">
        <v>0</v>
      </c>
      <c r="H34" s="249" t="s">
        <v>52</v>
      </c>
      <c r="I34" s="255">
        <v>0</v>
      </c>
      <c r="J34" s="249" t="s">
        <v>52</v>
      </c>
      <c r="K34" s="255">
        <v>0</v>
      </c>
      <c r="L34" s="249" t="s">
        <v>52</v>
      </c>
      <c r="M34" s="255">
        <v>0</v>
      </c>
      <c r="N34" s="249" t="s">
        <v>52</v>
      </c>
      <c r="O34" s="255">
        <v>0</v>
      </c>
      <c r="P34" s="255">
        <v>138989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8" t="s">
        <v>588</v>
      </c>
      <c r="X34" s="8" t="s">
        <v>52</v>
      </c>
      <c r="Y34" s="2" t="s">
        <v>589</v>
      </c>
      <c r="Z34" s="2" t="s">
        <v>52</v>
      </c>
      <c r="AA34" s="22"/>
      <c r="AB34" s="2" t="s">
        <v>52</v>
      </c>
    </row>
    <row r="35" spans="1:28" ht="30" customHeight="1">
      <c r="A35" s="8" t="s">
        <v>278</v>
      </c>
      <c r="B35" s="249" t="s">
        <v>277</v>
      </c>
      <c r="C35" s="249" t="s">
        <v>187</v>
      </c>
      <c r="D35" s="254" t="s">
        <v>188</v>
      </c>
      <c r="E35" s="255">
        <v>0</v>
      </c>
      <c r="F35" s="249" t="s">
        <v>52</v>
      </c>
      <c r="G35" s="255">
        <v>0</v>
      </c>
      <c r="H35" s="249" t="s">
        <v>52</v>
      </c>
      <c r="I35" s="255">
        <v>0</v>
      </c>
      <c r="J35" s="249" t="s">
        <v>52</v>
      </c>
      <c r="K35" s="255">
        <v>0</v>
      </c>
      <c r="L35" s="249" t="s">
        <v>52</v>
      </c>
      <c r="M35" s="255">
        <v>0</v>
      </c>
      <c r="N35" s="249" t="s">
        <v>52</v>
      </c>
      <c r="O35" s="255">
        <v>0</v>
      </c>
      <c r="P35" s="255">
        <v>167926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8" t="s">
        <v>590</v>
      </c>
      <c r="X35" s="8" t="s">
        <v>52</v>
      </c>
      <c r="Y35" s="2" t="s">
        <v>589</v>
      </c>
      <c r="Z35" s="2" t="s">
        <v>52</v>
      </c>
      <c r="AA35" s="22"/>
      <c r="AB35" s="2" t="s">
        <v>52</v>
      </c>
    </row>
    <row r="36" spans="1:28" ht="30" customHeight="1">
      <c r="A36" s="8" t="s">
        <v>206</v>
      </c>
      <c r="B36" s="249" t="s">
        <v>205</v>
      </c>
      <c r="C36" s="249" t="s">
        <v>187</v>
      </c>
      <c r="D36" s="254" t="s">
        <v>188</v>
      </c>
      <c r="E36" s="255">
        <v>0</v>
      </c>
      <c r="F36" s="249" t="s">
        <v>52</v>
      </c>
      <c r="G36" s="255">
        <v>0</v>
      </c>
      <c r="H36" s="249" t="s">
        <v>52</v>
      </c>
      <c r="I36" s="255">
        <v>0</v>
      </c>
      <c r="J36" s="249" t="s">
        <v>52</v>
      </c>
      <c r="K36" s="255">
        <v>0</v>
      </c>
      <c r="L36" s="249" t="s">
        <v>52</v>
      </c>
      <c r="M36" s="255">
        <v>0</v>
      </c>
      <c r="N36" s="249" t="s">
        <v>52</v>
      </c>
      <c r="O36" s="255">
        <v>0</v>
      </c>
      <c r="P36" s="255">
        <v>220808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8" t="s">
        <v>591</v>
      </c>
      <c r="X36" s="8" t="s">
        <v>52</v>
      </c>
      <c r="Y36" s="2" t="s">
        <v>589</v>
      </c>
      <c r="Z36" s="2" t="s">
        <v>52</v>
      </c>
      <c r="AA36" s="22"/>
      <c r="AB36" s="2" t="s">
        <v>52</v>
      </c>
    </row>
    <row r="37" spans="1:28" ht="30" customHeight="1">
      <c r="A37" s="8" t="s">
        <v>215</v>
      </c>
      <c r="B37" s="249" t="s">
        <v>214</v>
      </c>
      <c r="C37" s="249" t="s">
        <v>187</v>
      </c>
      <c r="D37" s="254" t="s">
        <v>188</v>
      </c>
      <c r="E37" s="255">
        <v>0</v>
      </c>
      <c r="F37" s="249" t="s">
        <v>52</v>
      </c>
      <c r="G37" s="255">
        <v>0</v>
      </c>
      <c r="H37" s="249" t="s">
        <v>52</v>
      </c>
      <c r="I37" s="255">
        <v>0</v>
      </c>
      <c r="J37" s="249" t="s">
        <v>52</v>
      </c>
      <c r="K37" s="255">
        <v>0</v>
      </c>
      <c r="L37" s="249" t="s">
        <v>52</v>
      </c>
      <c r="M37" s="255">
        <v>0</v>
      </c>
      <c r="N37" s="249" t="s">
        <v>52</v>
      </c>
      <c r="O37" s="255">
        <v>0</v>
      </c>
      <c r="P37" s="255">
        <v>217895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8" t="s">
        <v>592</v>
      </c>
      <c r="X37" s="8" t="s">
        <v>52</v>
      </c>
      <c r="Y37" s="2" t="s">
        <v>589</v>
      </c>
      <c r="Z37" s="2" t="s">
        <v>52</v>
      </c>
      <c r="AA37" s="22"/>
      <c r="AB37" s="2" t="s">
        <v>52</v>
      </c>
    </row>
    <row r="38" spans="1:28" ht="30" customHeight="1">
      <c r="A38" s="8" t="s">
        <v>323</v>
      </c>
      <c r="B38" s="249" t="s">
        <v>322</v>
      </c>
      <c r="C38" s="249" t="s">
        <v>187</v>
      </c>
      <c r="D38" s="254" t="s">
        <v>188</v>
      </c>
      <c r="E38" s="255">
        <v>0</v>
      </c>
      <c r="F38" s="249" t="s">
        <v>52</v>
      </c>
      <c r="G38" s="255">
        <v>0</v>
      </c>
      <c r="H38" s="249" t="s">
        <v>52</v>
      </c>
      <c r="I38" s="255">
        <v>0</v>
      </c>
      <c r="J38" s="249" t="s">
        <v>52</v>
      </c>
      <c r="K38" s="255">
        <v>0</v>
      </c>
      <c r="L38" s="249" t="s">
        <v>52</v>
      </c>
      <c r="M38" s="255">
        <v>0</v>
      </c>
      <c r="N38" s="249" t="s">
        <v>52</v>
      </c>
      <c r="O38" s="255">
        <v>0</v>
      </c>
      <c r="P38" s="255">
        <v>203878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8" t="s">
        <v>593</v>
      </c>
      <c r="X38" s="8" t="s">
        <v>52</v>
      </c>
      <c r="Y38" s="2" t="s">
        <v>589</v>
      </c>
      <c r="Z38" s="2" t="s">
        <v>52</v>
      </c>
      <c r="AA38" s="22"/>
      <c r="AB38" s="2" t="s">
        <v>52</v>
      </c>
    </row>
    <row r="39" spans="1:28" ht="30" customHeight="1">
      <c r="A39" s="8" t="s">
        <v>340</v>
      </c>
      <c r="B39" s="249" t="s">
        <v>339</v>
      </c>
      <c r="C39" s="249" t="s">
        <v>187</v>
      </c>
      <c r="D39" s="254" t="s">
        <v>188</v>
      </c>
      <c r="E39" s="255">
        <v>0</v>
      </c>
      <c r="F39" s="249" t="s">
        <v>52</v>
      </c>
      <c r="G39" s="255">
        <v>0</v>
      </c>
      <c r="H39" s="249" t="s">
        <v>52</v>
      </c>
      <c r="I39" s="255">
        <v>0</v>
      </c>
      <c r="J39" s="249" t="s">
        <v>52</v>
      </c>
      <c r="K39" s="255">
        <v>0</v>
      </c>
      <c r="L39" s="249" t="s">
        <v>52</v>
      </c>
      <c r="M39" s="255">
        <v>0</v>
      </c>
      <c r="N39" s="249" t="s">
        <v>52</v>
      </c>
      <c r="O39" s="255">
        <v>0</v>
      </c>
      <c r="P39" s="255">
        <v>137974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8" t="s">
        <v>594</v>
      </c>
      <c r="X39" s="8" t="s">
        <v>52</v>
      </c>
      <c r="Y39" s="2" t="s">
        <v>589</v>
      </c>
      <c r="Z39" s="2" t="s">
        <v>52</v>
      </c>
      <c r="AA39" s="22"/>
      <c r="AB39" s="2" t="s">
        <v>52</v>
      </c>
    </row>
    <row r="40" spans="1:28" ht="30" customHeight="1">
      <c r="A40" s="8" t="s">
        <v>383</v>
      </c>
      <c r="B40" s="249" t="s">
        <v>381</v>
      </c>
      <c r="C40" s="249" t="s">
        <v>382</v>
      </c>
      <c r="D40" s="254" t="s">
        <v>188</v>
      </c>
      <c r="E40" s="255">
        <v>0</v>
      </c>
      <c r="F40" s="249" t="s">
        <v>52</v>
      </c>
      <c r="G40" s="255">
        <v>0</v>
      </c>
      <c r="H40" s="249" t="s">
        <v>52</v>
      </c>
      <c r="I40" s="255">
        <v>0</v>
      </c>
      <c r="J40" s="249" t="s">
        <v>52</v>
      </c>
      <c r="K40" s="255">
        <v>0</v>
      </c>
      <c r="L40" s="249" t="s">
        <v>52</v>
      </c>
      <c r="M40" s="255">
        <v>0</v>
      </c>
      <c r="N40" s="249" t="s">
        <v>52</v>
      </c>
      <c r="O40" s="255">
        <v>0</v>
      </c>
      <c r="P40" s="255">
        <v>333973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8" t="s">
        <v>595</v>
      </c>
      <c r="X40" s="8" t="s">
        <v>52</v>
      </c>
      <c r="Y40" s="2" t="s">
        <v>589</v>
      </c>
      <c r="Z40" s="2" t="s">
        <v>52</v>
      </c>
      <c r="AA40" s="22"/>
      <c r="AB40" s="2" t="s">
        <v>52</v>
      </c>
    </row>
    <row r="41" spans="1:28" ht="30" customHeight="1">
      <c r="A41" s="8" t="s">
        <v>447</v>
      </c>
      <c r="B41" s="249" t="s">
        <v>445</v>
      </c>
      <c r="C41" s="249" t="s">
        <v>382</v>
      </c>
      <c r="D41" s="254" t="s">
        <v>188</v>
      </c>
      <c r="E41" s="255">
        <v>0</v>
      </c>
      <c r="F41" s="249" t="s">
        <v>52</v>
      </c>
      <c r="G41" s="255">
        <v>0</v>
      </c>
      <c r="H41" s="249" t="s">
        <v>52</v>
      </c>
      <c r="I41" s="255">
        <v>0</v>
      </c>
      <c r="J41" s="249" t="s">
        <v>52</v>
      </c>
      <c r="K41" s="255">
        <v>0</v>
      </c>
      <c r="L41" s="249" t="s">
        <v>52</v>
      </c>
      <c r="M41" s="255">
        <v>0</v>
      </c>
      <c r="N41" s="249" t="s">
        <v>52</v>
      </c>
      <c r="O41" s="255">
        <v>0</v>
      </c>
      <c r="P41" s="255">
        <v>213333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8" t="s">
        <v>596</v>
      </c>
      <c r="X41" s="8" t="s">
        <v>446</v>
      </c>
      <c r="Y41" s="2" t="s">
        <v>589</v>
      </c>
      <c r="Z41" s="2" t="s">
        <v>52</v>
      </c>
      <c r="AA41" s="22"/>
      <c r="AB41" s="2" t="s">
        <v>52</v>
      </c>
    </row>
    <row r="42" spans="1:28" ht="30" customHeight="1">
      <c r="A42" s="8" t="s">
        <v>387</v>
      </c>
      <c r="B42" s="249" t="s">
        <v>385</v>
      </c>
      <c r="C42" s="249" t="s">
        <v>382</v>
      </c>
      <c r="D42" s="254" t="s">
        <v>188</v>
      </c>
      <c r="E42" s="255">
        <v>0</v>
      </c>
      <c r="F42" s="249" t="s">
        <v>52</v>
      </c>
      <c r="G42" s="255">
        <v>0</v>
      </c>
      <c r="H42" s="249" t="s">
        <v>52</v>
      </c>
      <c r="I42" s="255">
        <v>0</v>
      </c>
      <c r="J42" s="249" t="s">
        <v>52</v>
      </c>
      <c r="K42" s="255">
        <v>0</v>
      </c>
      <c r="L42" s="249" t="s">
        <v>52</v>
      </c>
      <c r="M42" s="255">
        <v>0</v>
      </c>
      <c r="N42" s="249" t="s">
        <v>52</v>
      </c>
      <c r="O42" s="255">
        <v>0</v>
      </c>
      <c r="P42" s="255">
        <v>246892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8" t="s">
        <v>597</v>
      </c>
      <c r="X42" s="8" t="s">
        <v>386</v>
      </c>
      <c r="Y42" s="2" t="s">
        <v>589</v>
      </c>
      <c r="Z42" s="2" t="s">
        <v>52</v>
      </c>
      <c r="AA42" s="22"/>
      <c r="AB42" s="2" t="s">
        <v>52</v>
      </c>
    </row>
    <row r="43" spans="1:28" ht="30" customHeight="1">
      <c r="A43" s="8" t="s">
        <v>149</v>
      </c>
      <c r="B43" s="8" t="s">
        <v>147</v>
      </c>
      <c r="C43" s="8" t="s">
        <v>147</v>
      </c>
      <c r="D43" s="20" t="s">
        <v>148</v>
      </c>
      <c r="E43" s="21">
        <v>0</v>
      </c>
      <c r="F43" s="8" t="s">
        <v>52</v>
      </c>
      <c r="G43" s="21">
        <v>0</v>
      </c>
      <c r="H43" s="8" t="s">
        <v>52</v>
      </c>
      <c r="I43" s="21">
        <v>0</v>
      </c>
      <c r="J43" s="8" t="s">
        <v>52</v>
      </c>
      <c r="K43" s="21">
        <v>0</v>
      </c>
      <c r="L43" s="8" t="s">
        <v>52</v>
      </c>
      <c r="M43" s="21">
        <v>0</v>
      </c>
      <c r="N43" s="8" t="s">
        <v>52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5200000</v>
      </c>
      <c r="V43" s="21">
        <f>SMALL(Q43:U43,COUNTIF(Q43:U43,0)+1)</f>
        <v>5200000</v>
      </c>
      <c r="W43" s="8" t="s">
        <v>598</v>
      </c>
      <c r="X43" s="8" t="s">
        <v>599</v>
      </c>
      <c r="Y43" s="2" t="s">
        <v>52</v>
      </c>
      <c r="Z43" s="2" t="s">
        <v>52</v>
      </c>
      <c r="AA43" s="22"/>
      <c r="AB43" s="2" t="s">
        <v>52</v>
      </c>
    </row>
    <row r="44" spans="1:28" ht="30" customHeight="1">
      <c r="A44" s="8" t="s">
        <v>152</v>
      </c>
      <c r="B44" s="8" t="s">
        <v>151</v>
      </c>
      <c r="C44" s="8" t="s">
        <v>52</v>
      </c>
      <c r="D44" s="20" t="s">
        <v>138</v>
      </c>
      <c r="E44" s="21">
        <v>0</v>
      </c>
      <c r="F44" s="8" t="s">
        <v>52</v>
      </c>
      <c r="G44" s="21">
        <v>0</v>
      </c>
      <c r="H44" s="8" t="s">
        <v>52</v>
      </c>
      <c r="I44" s="21">
        <v>0</v>
      </c>
      <c r="J44" s="8" t="s">
        <v>52</v>
      </c>
      <c r="K44" s="21">
        <v>0</v>
      </c>
      <c r="L44" s="8" t="s">
        <v>52</v>
      </c>
      <c r="M44" s="21">
        <v>0</v>
      </c>
      <c r="N44" s="8" t="s">
        <v>52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772880</v>
      </c>
      <c r="V44" s="21">
        <f>SMALL(Q44:U44,COUNTIF(Q44:U44,0)+1)</f>
        <v>772880</v>
      </c>
      <c r="W44" s="8" t="s">
        <v>600</v>
      </c>
      <c r="X44" s="8" t="s">
        <v>52</v>
      </c>
      <c r="Y44" s="2" t="s">
        <v>52</v>
      </c>
      <c r="Z44" s="2" t="s">
        <v>52</v>
      </c>
      <c r="AA44" s="22"/>
      <c r="AB44" s="2" t="s">
        <v>52</v>
      </c>
    </row>
    <row r="45" spans="1:28" ht="30" customHeight="1">
      <c r="A45" s="8" t="s">
        <v>155</v>
      </c>
      <c r="B45" s="8" t="s">
        <v>154</v>
      </c>
      <c r="C45" s="8" t="s">
        <v>52</v>
      </c>
      <c r="D45" s="20" t="s">
        <v>148</v>
      </c>
      <c r="E45" s="21">
        <v>0</v>
      </c>
      <c r="F45" s="8" t="s">
        <v>52</v>
      </c>
      <c r="G45" s="21">
        <v>0</v>
      </c>
      <c r="H45" s="8" t="s">
        <v>52</v>
      </c>
      <c r="I45" s="21">
        <v>0</v>
      </c>
      <c r="J45" s="8" t="s">
        <v>52</v>
      </c>
      <c r="K45" s="21">
        <v>0</v>
      </c>
      <c r="L45" s="8" t="s">
        <v>52</v>
      </c>
      <c r="M45" s="21">
        <v>0</v>
      </c>
      <c r="N45" s="8" t="s">
        <v>52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1000000</v>
      </c>
      <c r="V45" s="21">
        <f>SMALL(Q45:U45,COUNTIF(Q45:U45,0)+1)</f>
        <v>1000000</v>
      </c>
      <c r="W45" s="8" t="s">
        <v>601</v>
      </c>
      <c r="X45" s="8" t="s">
        <v>52</v>
      </c>
      <c r="Y45" s="2" t="s">
        <v>52</v>
      </c>
      <c r="Z45" s="2" t="s">
        <v>52</v>
      </c>
      <c r="AA45" s="22"/>
      <c r="AB45" s="2" t="s">
        <v>52</v>
      </c>
    </row>
    <row r="46" spans="1:28" ht="30" customHeight="1">
      <c r="A46" s="8" t="s">
        <v>132</v>
      </c>
      <c r="B46" s="8" t="s">
        <v>130</v>
      </c>
      <c r="C46" s="8" t="s">
        <v>52</v>
      </c>
      <c r="D46" s="20" t="s">
        <v>131</v>
      </c>
      <c r="E46" s="21">
        <v>0</v>
      </c>
      <c r="F46" s="8" t="s">
        <v>52</v>
      </c>
      <c r="G46" s="21">
        <v>0</v>
      </c>
      <c r="H46" s="8" t="s">
        <v>52</v>
      </c>
      <c r="I46" s="21">
        <v>0</v>
      </c>
      <c r="J46" s="8" t="s">
        <v>52</v>
      </c>
      <c r="K46" s="21">
        <v>12000</v>
      </c>
      <c r="L46" s="8" t="s">
        <v>52</v>
      </c>
      <c r="M46" s="21">
        <v>13000</v>
      </c>
      <c r="N46" s="8" t="s">
        <v>52</v>
      </c>
      <c r="O46" s="21">
        <f>SMALL(E46:M46,COUNTIF(E46:M46,0)+1)</f>
        <v>12000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8" t="s">
        <v>602</v>
      </c>
      <c r="X46" s="8" t="s">
        <v>599</v>
      </c>
      <c r="Y46" s="2" t="s">
        <v>52</v>
      </c>
      <c r="Z46" s="2" t="s">
        <v>52</v>
      </c>
      <c r="AA46" s="22"/>
      <c r="AB46" s="2" t="s">
        <v>52</v>
      </c>
    </row>
    <row r="47" spans="1:28" ht="30" customHeight="1">
      <c r="A47" s="8" t="s">
        <v>283</v>
      </c>
      <c r="B47" s="8" t="s">
        <v>281</v>
      </c>
      <c r="C47" s="8" t="s">
        <v>282</v>
      </c>
      <c r="D47" s="20" t="s">
        <v>58</v>
      </c>
      <c r="E47" s="21">
        <v>0</v>
      </c>
      <c r="F47" s="8" t="s">
        <v>52</v>
      </c>
      <c r="G47" s="21">
        <v>0</v>
      </c>
      <c r="H47" s="8" t="s">
        <v>52</v>
      </c>
      <c r="I47" s="21">
        <v>0</v>
      </c>
      <c r="J47" s="8" t="s">
        <v>52</v>
      </c>
      <c r="K47" s="21">
        <v>600</v>
      </c>
      <c r="L47" s="8" t="s">
        <v>52</v>
      </c>
      <c r="M47" s="21">
        <v>620</v>
      </c>
      <c r="N47" s="8" t="s">
        <v>52</v>
      </c>
      <c r="O47" s="21">
        <f>SMALL(E47:M47,COUNTIF(E47:M47,0)+1)</f>
        <v>600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8" t="s">
        <v>603</v>
      </c>
      <c r="X47" s="8" t="s">
        <v>599</v>
      </c>
      <c r="Y47" s="2" t="s">
        <v>52</v>
      </c>
      <c r="Z47" s="2" t="s">
        <v>52</v>
      </c>
      <c r="AA47" s="22"/>
      <c r="AB47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workbookViewId="0"/>
  </sheetViews>
  <sheetFormatPr defaultRowHeight="16.5"/>
  <sheetData>
    <row r="1" spans="1:7">
      <c r="A1" t="s">
        <v>669</v>
      </c>
    </row>
    <row r="2" spans="1:7">
      <c r="A2" s="1" t="s">
        <v>670</v>
      </c>
      <c r="B2" t="s">
        <v>309</v>
      </c>
      <c r="C2" s="1" t="s">
        <v>671</v>
      </c>
    </row>
    <row r="3" spans="1:7">
      <c r="A3" s="1" t="s">
        <v>672</v>
      </c>
      <c r="B3" t="s">
        <v>673</v>
      </c>
    </row>
    <row r="4" spans="1:7">
      <c r="A4" s="1" t="s">
        <v>674</v>
      </c>
      <c r="B4">
        <v>5</v>
      </c>
    </row>
    <row r="5" spans="1:7">
      <c r="A5" s="1" t="s">
        <v>675</v>
      </c>
      <c r="B5">
        <v>5</v>
      </c>
    </row>
    <row r="6" spans="1:7">
      <c r="A6" s="1" t="s">
        <v>676</v>
      </c>
      <c r="B6" t="s">
        <v>677</v>
      </c>
    </row>
    <row r="7" spans="1:7">
      <c r="A7" s="1" t="s">
        <v>678</v>
      </c>
      <c r="B7" t="s">
        <v>518</v>
      </c>
      <c r="C7">
        <v>1</v>
      </c>
    </row>
    <row r="8" spans="1:7">
      <c r="A8" s="1" t="s">
        <v>679</v>
      </c>
      <c r="B8" t="s">
        <v>518</v>
      </c>
      <c r="C8">
        <v>2</v>
      </c>
    </row>
    <row r="9" spans="1:7">
      <c r="A9" s="1" t="s">
        <v>680</v>
      </c>
      <c r="B9" t="s">
        <v>530</v>
      </c>
      <c r="C9" t="s">
        <v>532</v>
      </c>
      <c r="D9" t="s">
        <v>533</v>
      </c>
      <c r="E9" t="s">
        <v>534</v>
      </c>
      <c r="F9" t="s">
        <v>535</v>
      </c>
      <c r="G9" t="s">
        <v>681</v>
      </c>
    </row>
    <row r="10" spans="1:7">
      <c r="A10" s="1" t="s">
        <v>682</v>
      </c>
      <c r="B10">
        <v>0</v>
      </c>
      <c r="C10">
        <v>0</v>
      </c>
      <c r="D10">
        <v>0</v>
      </c>
    </row>
    <row r="11" spans="1:7">
      <c r="A11" s="1" t="s">
        <v>683</v>
      </c>
      <c r="B11" t="s">
        <v>684</v>
      </c>
      <c r="C11">
        <v>3</v>
      </c>
    </row>
    <row r="12" spans="1:7">
      <c r="A12" s="1" t="s">
        <v>685</v>
      </c>
      <c r="B12" t="s">
        <v>684</v>
      </c>
      <c r="C12">
        <v>3</v>
      </c>
    </row>
    <row r="13" spans="1:7">
      <c r="A13" s="1" t="s">
        <v>686</v>
      </c>
      <c r="B13" t="s">
        <v>684</v>
      </c>
      <c r="C13">
        <v>2</v>
      </c>
    </row>
    <row r="14" spans="1:7">
      <c r="A14" s="1" t="s">
        <v>687</v>
      </c>
      <c r="B14" t="s">
        <v>518</v>
      </c>
      <c r="C14">
        <v>5</v>
      </c>
    </row>
    <row r="15" spans="1:7">
      <c r="A15" s="1" t="s">
        <v>688</v>
      </c>
      <c r="B15" t="s">
        <v>309</v>
      </c>
      <c r="C15" t="s">
        <v>689</v>
      </c>
      <c r="D15" t="s">
        <v>689</v>
      </c>
      <c r="E15" t="s">
        <v>689</v>
      </c>
      <c r="F15">
        <v>1</v>
      </c>
    </row>
    <row r="16" spans="1:7">
      <c r="A16" s="1" t="s">
        <v>690</v>
      </c>
      <c r="B16">
        <v>0</v>
      </c>
      <c r="C16">
        <v>0</v>
      </c>
    </row>
    <row r="17" spans="1:13">
      <c r="A17" s="1" t="s">
        <v>691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>
      <c r="A18" s="1" t="s">
        <v>692</v>
      </c>
      <c r="B18">
        <v>0</v>
      </c>
      <c r="C18">
        <v>0</v>
      </c>
    </row>
    <row r="19" spans="1:13">
      <c r="A19" s="1" t="s">
        <v>693</v>
      </c>
    </row>
    <row r="20" spans="1:13">
      <c r="A20" s="1" t="s">
        <v>694</v>
      </c>
      <c r="B20" s="1" t="s">
        <v>52</v>
      </c>
      <c r="C20">
        <v>1</v>
      </c>
    </row>
    <row r="21" spans="1:13">
      <c r="A21" t="s">
        <v>514</v>
      </c>
      <c r="B21" t="s">
        <v>695</v>
      </c>
      <c r="C21" t="s">
        <v>696</v>
      </c>
    </row>
    <row r="22" spans="1:13">
      <c r="A22">
        <v>1</v>
      </c>
      <c r="B22" s="1" t="s">
        <v>697</v>
      </c>
      <c r="C22" s="1" t="s">
        <v>617</v>
      </c>
    </row>
    <row r="23" spans="1:13">
      <c r="A23">
        <v>2</v>
      </c>
      <c r="B23" s="1" t="s">
        <v>698</v>
      </c>
      <c r="C23" s="1" t="s">
        <v>699</v>
      </c>
    </row>
    <row r="24" spans="1:13">
      <c r="A24">
        <v>3</v>
      </c>
      <c r="B24" s="1" t="s">
        <v>700</v>
      </c>
      <c r="C24" s="1" t="s">
        <v>701</v>
      </c>
    </row>
    <row r="25" spans="1:13">
      <c r="A25">
        <v>4</v>
      </c>
      <c r="B25" s="1" t="s">
        <v>702</v>
      </c>
      <c r="C25" s="1" t="s">
        <v>703</v>
      </c>
    </row>
    <row r="26" spans="1:13">
      <c r="A26">
        <v>5</v>
      </c>
      <c r="B26" s="1" t="s">
        <v>704</v>
      </c>
      <c r="C26" s="1" t="s">
        <v>52</v>
      </c>
    </row>
    <row r="27" spans="1:13">
      <c r="A27">
        <v>6</v>
      </c>
      <c r="B27" s="1" t="s">
        <v>705</v>
      </c>
      <c r="C27" s="1" t="s">
        <v>52</v>
      </c>
    </row>
    <row r="28" spans="1:13">
      <c r="A28">
        <v>7</v>
      </c>
      <c r="B28" s="1" t="s">
        <v>705</v>
      </c>
      <c r="C28" s="1" t="s">
        <v>52</v>
      </c>
    </row>
    <row r="29" spans="1:13">
      <c r="A29">
        <v>8</v>
      </c>
      <c r="B29" s="1" t="s">
        <v>705</v>
      </c>
      <c r="C29" s="1" t="s">
        <v>52</v>
      </c>
    </row>
    <row r="30" spans="1:13">
      <c r="A30">
        <v>9</v>
      </c>
      <c r="B30" s="1" t="s">
        <v>705</v>
      </c>
      <c r="C30" s="1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13</vt:i4>
      </vt:variant>
    </vt:vector>
  </HeadingPairs>
  <TitlesOfParts>
    <vt:vector size="22" baseType="lpstr">
      <vt:lpstr>심사내역</vt:lpstr>
      <vt:lpstr>원가계산서</vt:lpstr>
      <vt:lpstr>내역서</vt:lpstr>
      <vt:lpstr>일위대가목록</vt:lpstr>
      <vt:lpstr>일위대가</vt:lpstr>
      <vt:lpstr>중기단가목록</vt:lpstr>
      <vt:lpstr>중기단가산출서</vt:lpstr>
      <vt:lpstr>단가대비표</vt:lpstr>
      <vt:lpstr> 공사설정 </vt:lpstr>
      <vt:lpstr>내역서!Print_Area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내역서!Print_Titles</vt:lpstr>
      <vt:lpstr>단가대비표!Print_Titles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아람</dc:creator>
  <cp:lastModifiedBy>최성훈</cp:lastModifiedBy>
  <cp:lastPrinted>2020-12-15T09:17:13Z</cp:lastPrinted>
  <dcterms:created xsi:type="dcterms:W3CDTF">2020-12-15T07:31:31Z</dcterms:created>
  <dcterms:modified xsi:type="dcterms:W3CDTF">2020-12-16T02:31:44Z</dcterms:modified>
</cp:coreProperties>
</file>